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8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45" windowWidth="5745" windowHeight="6180" firstSheet="8" activeTab="19"/>
  </bookViews>
  <sheets>
    <sheet name="Т1" sheetId="1" r:id="rId1"/>
    <sheet name="Т2" sheetId="2" r:id="rId2"/>
    <sheet name="Т3" sheetId="3" r:id="rId3"/>
    <sheet name="Т4" sheetId="4" r:id="rId4"/>
    <sheet name="Т5" sheetId="5" r:id="rId5"/>
    <sheet name="Т6" sheetId="6" r:id="rId6"/>
    <sheet name="Т7" sheetId="7" r:id="rId7"/>
    <sheet name="Т8" sheetId="8" r:id="rId8"/>
    <sheet name="Т9" sheetId="9" r:id="rId9"/>
    <sheet name="Д1" sheetId="10" r:id="rId10"/>
    <sheet name="Д2" sheetId="11" r:id="rId11"/>
    <sheet name="Д3" sheetId="12" r:id="rId12"/>
    <sheet name="Д4" sheetId="13" r:id="rId13"/>
    <sheet name="Д5" sheetId="14" r:id="rId14"/>
    <sheet name="Д6" sheetId="15" r:id="rId15"/>
    <sheet name="Д7" sheetId="16" r:id="rId16"/>
    <sheet name="Д8" sheetId="17" r:id="rId17"/>
    <sheet name="Д9" sheetId="18" r:id="rId18"/>
    <sheet name="Д10" sheetId="19" r:id="rId19"/>
    <sheet name="Д11" sheetId="20" r:id="rId20"/>
    <sheet name="Д12" sheetId="21" r:id="rId21"/>
    <sheet name="Д 13" sheetId="22" r:id="rId22"/>
    <sheet name="Диаграмы" sheetId="23" r:id="rId23"/>
  </sheets>
  <definedNames>
    <definedName name="_xlnm.Print_Area" localSheetId="22">'Диаграмы'!$A$1:$BR$224</definedName>
  </definedNames>
  <calcPr fullCalcOnLoad="1"/>
</workbook>
</file>

<file path=xl/sharedStrings.xml><?xml version="1.0" encoding="utf-8"?>
<sst xmlns="http://schemas.openxmlformats.org/spreadsheetml/2006/main" count="1034" uniqueCount="333">
  <si>
    <t>Виды ЖКУ</t>
  </si>
  <si>
    <t>Содержание и текущий ремонт жилищного фонда</t>
  </si>
  <si>
    <t>Теплоснабжение</t>
  </si>
  <si>
    <t>Водоотведение</t>
  </si>
  <si>
    <t>Город</t>
  </si>
  <si>
    <t>темп роста, %</t>
  </si>
  <si>
    <t>Сургут</t>
  </si>
  <si>
    <t>Нижне-вартовск</t>
  </si>
  <si>
    <t>Нефте-юганск</t>
  </si>
  <si>
    <t>Ханты-Мансийск</t>
  </si>
  <si>
    <t>Когалым</t>
  </si>
  <si>
    <t>Лангепас</t>
  </si>
  <si>
    <t>Урай</t>
  </si>
  <si>
    <t>Мегион</t>
  </si>
  <si>
    <t>Горячее водоснабжение (подогрев)</t>
  </si>
  <si>
    <t>№ п/п</t>
  </si>
  <si>
    <t>Города</t>
  </si>
  <si>
    <t>Сумма платежа</t>
  </si>
  <si>
    <t>Установленный уровень, %</t>
  </si>
  <si>
    <t>Ранжирование по сумме платежа от наибольшей</t>
  </si>
  <si>
    <t>Сумма платежа, руб.</t>
  </si>
  <si>
    <t>Нижневартовск</t>
  </si>
  <si>
    <t>Нефтеюганск</t>
  </si>
  <si>
    <t>IV</t>
  </si>
  <si>
    <t>VI</t>
  </si>
  <si>
    <t>VIII</t>
  </si>
  <si>
    <t>II</t>
  </si>
  <si>
    <t>V</t>
  </si>
  <si>
    <t>III</t>
  </si>
  <si>
    <t>I</t>
  </si>
  <si>
    <t>VII</t>
  </si>
  <si>
    <t>Таблица 4</t>
  </si>
  <si>
    <t>Таблица 5</t>
  </si>
  <si>
    <t>Тепловая энергия</t>
  </si>
  <si>
    <t>Таблица 1</t>
  </si>
  <si>
    <t>Таблица 2</t>
  </si>
  <si>
    <t>Таблица 3</t>
  </si>
  <si>
    <t>0,236 (4)</t>
  </si>
  <si>
    <t>0,237 (3)</t>
  </si>
  <si>
    <t>С учетом установленого на территории уровня платежей</t>
  </si>
  <si>
    <t>5,30 (8)</t>
  </si>
  <si>
    <t>9,20 (2)</t>
  </si>
  <si>
    <t>9,30 (2)</t>
  </si>
  <si>
    <t>С учетом корректировки на уровень платежей по г.Сургуту</t>
  </si>
  <si>
    <t>12,98 (6)</t>
  </si>
  <si>
    <t>15,98 (2)</t>
  </si>
  <si>
    <t>9,60 (1)</t>
  </si>
  <si>
    <t>0,313 (1)</t>
  </si>
  <si>
    <t>0,240 (2)</t>
  </si>
  <si>
    <t>Теплоснабжение*</t>
  </si>
  <si>
    <t>14,68 (3)</t>
  </si>
  <si>
    <t>13,33 (5)</t>
  </si>
  <si>
    <t>98,40 (7)</t>
  </si>
  <si>
    <t>5,60 (8)</t>
  </si>
  <si>
    <t>Вывоз твердых бытовых отходов</t>
  </si>
  <si>
    <t>темп роста %</t>
  </si>
  <si>
    <t>-</t>
  </si>
  <si>
    <t>Техническое обслуживание и текущий ремонт лифтов</t>
  </si>
  <si>
    <t>* - среднегодовой норматив потребления</t>
  </si>
  <si>
    <t>Техническое обслуживание и ремонт лифтов</t>
  </si>
  <si>
    <t>102,00(2)</t>
  </si>
  <si>
    <t>Водоснабжение</t>
  </si>
  <si>
    <t>93,0-100,0</t>
  </si>
  <si>
    <t>3,32***</t>
  </si>
  <si>
    <t>13,05 (8)</t>
  </si>
  <si>
    <t>251,93(3)</t>
  </si>
  <si>
    <t>222,55(4)</t>
  </si>
  <si>
    <t>160,83(6)</t>
  </si>
  <si>
    <t xml:space="preserve"> -</t>
  </si>
  <si>
    <t>38,74 (1)</t>
  </si>
  <si>
    <t>12,80 (7)</t>
  </si>
  <si>
    <t>49,75 (1)</t>
  </si>
  <si>
    <t>11,51 (7)</t>
  </si>
  <si>
    <t>14,16 (4)</t>
  </si>
  <si>
    <t xml:space="preserve">13,68 (5) </t>
  </si>
  <si>
    <t>13,33 (6)</t>
  </si>
  <si>
    <t>19,82 (2)</t>
  </si>
  <si>
    <t>18,88 (3)</t>
  </si>
  <si>
    <t>16,80 (4)</t>
  </si>
  <si>
    <t>0,125(2)</t>
  </si>
  <si>
    <t>0,113(3)</t>
  </si>
  <si>
    <t>0,103(4)</t>
  </si>
  <si>
    <t>0,100(5)</t>
  </si>
  <si>
    <t>0,028 (1)</t>
  </si>
  <si>
    <t>4,61(3)</t>
  </si>
  <si>
    <t>4,17(4)</t>
  </si>
  <si>
    <t>3,83(5)</t>
  </si>
  <si>
    <t>3,66(6)</t>
  </si>
  <si>
    <t>16,72 (3)</t>
  </si>
  <si>
    <t>13,78 (5)</t>
  </si>
  <si>
    <t>13,30 (6)</t>
  </si>
  <si>
    <t>97,10 (6)</t>
  </si>
  <si>
    <t>99,04 (8)</t>
  </si>
  <si>
    <t>93,82-100</t>
  </si>
  <si>
    <t xml:space="preserve"> * - среднегодовая ставка платы  </t>
  </si>
  <si>
    <t>660,8 (4)</t>
  </si>
  <si>
    <t>20,65 (1)</t>
  </si>
  <si>
    <t>19,59 (2)</t>
  </si>
  <si>
    <t>19,22 (3)</t>
  </si>
  <si>
    <t>19,18 (4)</t>
  </si>
  <si>
    <t>18,79 (5)</t>
  </si>
  <si>
    <t>14,42 (6)</t>
  </si>
  <si>
    <t>14,33 (7)</t>
  </si>
  <si>
    <t>692,66 (2)</t>
  </si>
  <si>
    <t>669,06 (3)</t>
  </si>
  <si>
    <t>597,08 (5)</t>
  </si>
  <si>
    <t>551,00 (6)</t>
  </si>
  <si>
    <t>518,08 (7)</t>
  </si>
  <si>
    <t>500,45 (8)</t>
  </si>
  <si>
    <t>11,47 (8)</t>
  </si>
  <si>
    <t>11,86 (8)</t>
  </si>
  <si>
    <t>9,12 (3)</t>
  </si>
  <si>
    <t>9,00 (4)</t>
  </si>
  <si>
    <t>7,63 (5)</t>
  </si>
  <si>
    <t>7,62 (6)</t>
  </si>
  <si>
    <t>7,24 (7)</t>
  </si>
  <si>
    <t>0,025 (2)</t>
  </si>
  <si>
    <t>0,024 (3)</t>
  </si>
  <si>
    <t>0,023 (4)</t>
  </si>
  <si>
    <t>0,02 (5)</t>
  </si>
  <si>
    <t>уровень платежей по состоянию на 01.05.06. %</t>
  </si>
  <si>
    <t>93,4(8)</t>
  </si>
  <si>
    <t>98,40(7)</t>
  </si>
  <si>
    <t>21,34(1)</t>
  </si>
  <si>
    <t>18,53(2)</t>
  </si>
  <si>
    <t>18,14(3)</t>
  </si>
  <si>
    <t>17,70(4)</t>
  </si>
  <si>
    <t>17,69(5)</t>
  </si>
  <si>
    <t>14,42(6)</t>
  </si>
  <si>
    <t>14,32(7)</t>
  </si>
  <si>
    <t>13,05(8)</t>
  </si>
  <si>
    <t>89-100,0</t>
  </si>
  <si>
    <t>275,00(1)</t>
  </si>
  <si>
    <t>254,04(2)</t>
  </si>
  <si>
    <t>100,65(7)</t>
  </si>
  <si>
    <t>36,59(2)</t>
  </si>
  <si>
    <t>43,51(1)</t>
  </si>
  <si>
    <t>0,100(2)</t>
  </si>
  <si>
    <t>0,125(1)</t>
  </si>
  <si>
    <t>34,38(2)</t>
  </si>
  <si>
    <t>28,34(3)</t>
  </si>
  <si>
    <t>42,34(1)</t>
  </si>
  <si>
    <t>23,00(4)</t>
  </si>
  <si>
    <t>16,08(5)</t>
  </si>
  <si>
    <t>12,58(6)</t>
  </si>
  <si>
    <t>3,61(7)</t>
  </si>
  <si>
    <t>99,57(3)</t>
  </si>
  <si>
    <t>Таблица 6</t>
  </si>
  <si>
    <t>Таблица 7</t>
  </si>
  <si>
    <t>0,167(1)</t>
  </si>
  <si>
    <t>отклоне-ние (+,-) руб./лифт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</si>
  <si>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</si>
  <si>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      </t>
  </si>
  <si>
    <t>норматив на 01.05.06, Гкал/чел.</t>
  </si>
  <si>
    <t>ЭОТ (с НДС) на 01.05.06, руб./куб.м.</t>
  </si>
  <si>
    <t>Размер платы на 01.05.06, руб./кв.м.</t>
  </si>
  <si>
    <t>отклонение (+,-) руб./куб.м.</t>
  </si>
  <si>
    <t>отклонение (+,-)   руб/Гкал</t>
  </si>
  <si>
    <t>норматив на 01.05.06, кв.м./чел.</t>
  </si>
  <si>
    <t>отклоне-ние (+,-) кв.м./чел.</t>
  </si>
  <si>
    <t>норматив на 01.02.06, куб.м./чел.</t>
  </si>
  <si>
    <t>норматив на 01.05.06, куб.м./чел.</t>
  </si>
  <si>
    <t>отклоне-ние (+,-) куб.м./чел.</t>
  </si>
  <si>
    <t>норматив накопления на 01.05.06, куб.м./чел.</t>
  </si>
  <si>
    <t>Утилизация твердых бытовых отходов</t>
  </si>
  <si>
    <t>откло-нение (+,-), руб./чел.</t>
  </si>
  <si>
    <t>105,94(1)</t>
  </si>
  <si>
    <t>плата (с НДС) на 01.05.06. руб./кв.м</t>
  </si>
  <si>
    <t>плата (с НДС) на 01.05.06 руб./ чел.</t>
  </si>
  <si>
    <t>Таблица 8</t>
  </si>
  <si>
    <t>Таблица 9</t>
  </si>
  <si>
    <t xml:space="preserve"> </t>
  </si>
  <si>
    <t xml:space="preserve">** - для сопоставимости данных приведен норматив на холодное и горячее водоснабжение: в г. Нефтеюганске (4,65+3,32=7,97); в Урае (3,95+3,65=7,60) </t>
  </si>
  <si>
    <t>0,170(5)</t>
  </si>
  <si>
    <t>0,148(6)</t>
  </si>
  <si>
    <t>0,141 (7)</t>
  </si>
  <si>
    <t xml:space="preserve">*** - единица измерения - куб.м./чел. </t>
  </si>
  <si>
    <t>Размер платы для населения с НДС руб. за кв.м. по состоянию на 01.05.06 года</t>
  </si>
  <si>
    <t>Размер платы для населения с НДС руб. за лифт по состоянию на 01.05.06 года</t>
  </si>
  <si>
    <t>Тариф для населения с НДС руб. за Гкал по состоянию на 01.05.06 года</t>
  </si>
  <si>
    <t>Тариф для населения с НДС руб. за куб.м. по состоянию на 01.02.06 года</t>
  </si>
  <si>
    <t>Тариф для населения с НДС руб. за куб.м. по состоянию на 01.05.06 года</t>
  </si>
  <si>
    <t>Норматив накопления для населения куб.м. на чел. по состоянию на 01.05.06 года</t>
  </si>
  <si>
    <t>Норматив потребления для населения Гкал на кв.м. по состоянию на 01.05.06 года</t>
  </si>
  <si>
    <t>Норматив потребления для населения куб.м. на чел. по состоянию на 01.05.06 года</t>
  </si>
  <si>
    <t>Норматив потребления для населения Гкал на чел. по состоянию на 01.05.06 года</t>
  </si>
  <si>
    <t>Утвержденный уровень платежей граждан в % по состоянию на 01.05.06 года</t>
  </si>
  <si>
    <t>Плата для населения с НДС руб. за кв.м. по состоянию на 01.02.06 года</t>
  </si>
  <si>
    <t>Плата для населения с НДС руб. за кв.м. по состоянию на 01.05.06 года</t>
  </si>
  <si>
    <t>Плата для населения с НДС руб. с чел. по состоянию на 01.05.06 года</t>
  </si>
  <si>
    <t>Размер платы на 01.08.06, руб./кв.м.</t>
  </si>
  <si>
    <t>14,33 (8)</t>
  </si>
  <si>
    <t>14,42 (7)</t>
  </si>
  <si>
    <t>15,72 (6)</t>
  </si>
  <si>
    <t>10594,04 (2)</t>
  </si>
  <si>
    <t>9488,60 (3)</t>
  </si>
  <si>
    <t>13476,78 (1)</t>
  </si>
  <si>
    <t>8466,00 (5)</t>
  </si>
  <si>
    <t>9424,66 (4)</t>
  </si>
  <si>
    <t>9488,6 (3)</t>
  </si>
  <si>
    <t>11973,61 (2)</t>
  </si>
  <si>
    <t>100,65 (6)</t>
  </si>
  <si>
    <t>155,26 (5)</t>
  </si>
  <si>
    <t>222,55 (4)</t>
  </si>
  <si>
    <t>251,93 (3)</t>
  </si>
  <si>
    <t>254,04 (2)</t>
  </si>
  <si>
    <t>275,00 (1)</t>
  </si>
  <si>
    <t>ЭОТ (с НДС) на 01.08.06, руб./куб.м.</t>
  </si>
  <si>
    <t>норматив на 01.08.06, кв.м./чел.</t>
  </si>
  <si>
    <t>норматив накопления на 01.08.06, куб.м./чел.</t>
  </si>
  <si>
    <t>0,120 (3)</t>
  </si>
  <si>
    <t>0,113(4)</t>
  </si>
  <si>
    <t>0,103(5)</t>
  </si>
  <si>
    <t>норматив на 01.08.06, Гкал/кв.м.</t>
  </si>
  <si>
    <t>норматив на 01.08.06, Гкал/чел.</t>
  </si>
  <si>
    <t>7,97** (5)</t>
  </si>
  <si>
    <t>уровень платежей по состоянию на 01.08.06. %</t>
  </si>
  <si>
    <t>плата (с НДС) на 01.08.06. руб./кв.м</t>
  </si>
  <si>
    <t>плата (с НДС) на 01.08.06 руб./ чел.</t>
  </si>
  <si>
    <t>5,64*</t>
  </si>
  <si>
    <t>102,00(1)</t>
  </si>
  <si>
    <t>99,57(2)</t>
  </si>
  <si>
    <t>* - единица измерения - руб./м2</t>
  </si>
  <si>
    <t>0,96*</t>
  </si>
  <si>
    <t>12,58(5)</t>
  </si>
  <si>
    <t>14,42(7)</t>
  </si>
  <si>
    <t>14,32(8)</t>
  </si>
  <si>
    <t>плата (с НДС) на 01.08.06. руб./ чел.</t>
  </si>
  <si>
    <t>Размер платы для населения с НДС руб. за кв.м. по состоянию на 01.08.06 года</t>
  </si>
  <si>
    <t>Размер платы для населения с НДС руб. за лифт по состоянию на 01.08.06 года</t>
  </si>
  <si>
    <t>Тариф для населения с НДС руб. за Гкал по состоянию на 01.08.06 года</t>
  </si>
  <si>
    <t>Тариф для населения с НДС руб. за куб.м. по состоянию на 01.08.06 года</t>
  </si>
  <si>
    <t>Норматив накопления для населения куб.м. на чел. по состоянию на 01.08.06 года</t>
  </si>
  <si>
    <t>Норматив потребления для населения Гкал на кв.м. по состоянию на 01.08.06 года</t>
  </si>
  <si>
    <t>Норматив потребления для населения куб.м. на чел. по состоянию на 01.08.06 года</t>
  </si>
  <si>
    <t>Норматив потребления для населения Гкал на чел. по состоянию на 01.08.06 года</t>
  </si>
  <si>
    <t>Утвержденный уровень платежей граждан в % по состоянию на 01.08.06 года</t>
  </si>
  <si>
    <t>Плата для населения с НДС руб. за кв.м. по состоянию на 01.08.06 года</t>
  </si>
  <si>
    <t>Плата для населения с НДС руб. с чел. по состоянию на 01.08.06 года</t>
  </si>
  <si>
    <t>норматив накопления на 01.05.06, куб.м./чел</t>
  </si>
  <si>
    <t>норматив накопления на 01.08.06, куб.м./чел</t>
  </si>
  <si>
    <t>норматив на 01.08.06, куб.м./чел</t>
  </si>
  <si>
    <t>отклонение (+,-) куб.м./чел</t>
  </si>
  <si>
    <t>отклонение (+,-) Гкал/чел.</t>
  </si>
  <si>
    <t>отклонение (+,-) Гкал/кв.м.</t>
  </si>
  <si>
    <t>отклонение (+,-) куб.м./чел.</t>
  </si>
  <si>
    <t xml:space="preserve">Сравнительный анализ нормативов потребления по видам жилищных услуг по отдельным муниципальным образованиям округа по состоянию на 01.08.2006 года   </t>
  </si>
  <si>
    <t>Сравнительный анализ экономически обоснованного размера платы по видам жилищных услуг по отдельным муниципальным образованиям округа по состоянию на 01.08.2006 года</t>
  </si>
  <si>
    <t>Сравнительный анализ экономически обоснованных тарифов по видам коммунальных услуг по отдельным муниципальным образованиям округа по состоянию на 01.08.2006 года</t>
  </si>
  <si>
    <t xml:space="preserve">Сравнительный анализ нормативов потребления по видам коммунальных услуг по отдельным муниципальным образованиям округа по состоянию на 01.08.2006 года           </t>
  </si>
  <si>
    <t>Сравнительный анализ уровней платежей граждан по видам жилищных услуг по отдельным муниципальным образованиям округа по состоянию на 01.08.2006 года</t>
  </si>
  <si>
    <t>Сравнительный анализ уровней платежей граждан по видам коммунальных услуг по отдельным муниципальным образованиям округа по состоянию на 01.08.2006 года</t>
  </si>
  <si>
    <t xml:space="preserve">Сравнительный анализ платы для населения по видам жилищных услуг по отдельным муниципальным образованиям округа по состоянию на 01.08.2006 года </t>
  </si>
  <si>
    <t>отклонение (+,-), руб./кв.м.</t>
  </si>
  <si>
    <t>отклонение (+,-), руб./чел.</t>
  </si>
  <si>
    <t>откло-нение (+,-), руб./  кв.м.</t>
  </si>
  <si>
    <t>откло-нение (+,-), руб./  чел</t>
  </si>
  <si>
    <t>113,85  (5)</t>
  </si>
  <si>
    <t>132,12  (2)</t>
  </si>
  <si>
    <t>65,84  (7)</t>
  </si>
  <si>
    <t>203,53  (1)</t>
  </si>
  <si>
    <t>121,57 (3)</t>
  </si>
  <si>
    <t>119,04  (4)</t>
  </si>
  <si>
    <t>63,23  (8)</t>
  </si>
  <si>
    <t>97,10  (6)</t>
  </si>
  <si>
    <t>65,84 (7)</t>
  </si>
  <si>
    <t>63,23 (8)</t>
  </si>
  <si>
    <t xml:space="preserve">Сравнительный анализ платы для населения по видам коммунальных услуг по отдельным муниципальным образованиям округа по состоянию на 01.08.2006 года </t>
  </si>
  <si>
    <t>откло-нение (+,-), руб./ чел.</t>
  </si>
  <si>
    <t>151,20 (3)</t>
  </si>
  <si>
    <t>110,11 (5)</t>
  </si>
  <si>
    <t>263,67 (1)</t>
  </si>
  <si>
    <t>180,76 (2)</t>
  </si>
  <si>
    <t>105,80 (6)</t>
  </si>
  <si>
    <t>136,69 (4)</t>
  </si>
  <si>
    <t>101,60 (7)</t>
  </si>
  <si>
    <t>Стоимость содержания типовой двухкомнатной квартиры (общая площадь 54 кв. м) для семьи из трех человек по отдельным муниципальным образования ХМАО-Югры по состоянию на 01.08.2006 года*</t>
  </si>
  <si>
    <t>Размер платы на 01.05.06, руб./лифт</t>
  </si>
  <si>
    <t>Размер платы на 01.08.06, руб./лифт</t>
  </si>
  <si>
    <t>отклоне-ние (+,-) руб./кв.м</t>
  </si>
  <si>
    <t>ЭОT (с НДС) на 01.05.06, руб./куб.м</t>
  </si>
  <si>
    <t>ЭОT (с НДС) на 01.08.06, руб./куб.м</t>
  </si>
  <si>
    <t>норматив на 01.05.06, Гкал/кв.м</t>
  </si>
  <si>
    <t>отклоне-ние (+,-) руб./куб.м.</t>
  </si>
  <si>
    <t>Размер платы для населения с НДС руб. за куб.м. по состоянию на 01.05.06 года</t>
  </si>
  <si>
    <t>Размер платы для населения с НДС руб. за куб.м. по состоянию на 01.08.06 года</t>
  </si>
  <si>
    <t>ЭОТ (с НДС) на 01.05.06 руб./Гкал.</t>
  </si>
  <si>
    <t>ЭОТ (с НДС) на 01.08.06 руб./Гкал.</t>
  </si>
  <si>
    <t>норматив на 01.05.06 куб.м./чел.</t>
  </si>
  <si>
    <t>7,60** (7)</t>
  </si>
  <si>
    <t>0,120(2)</t>
  </si>
  <si>
    <t>уровень платежей по состоянию на 01.05.06., %</t>
  </si>
  <si>
    <t>уровень платежей по состоянию на 01.08.06., %</t>
  </si>
  <si>
    <t>отклонение (+,-)</t>
  </si>
  <si>
    <t>164,16 (2)</t>
  </si>
  <si>
    <t>плата (с НДС) на 01.05.06 руб./кв.м.</t>
  </si>
  <si>
    <t>плата (с НДС) на 01.08.06 руб./кв.м.</t>
  </si>
  <si>
    <t>16,62* (4)</t>
  </si>
  <si>
    <t>11,51 (8)</t>
  </si>
  <si>
    <t>12,32 (7)</t>
  </si>
  <si>
    <t>25,22 (1)</t>
  </si>
  <si>
    <t>16,73 (2)</t>
  </si>
  <si>
    <t>132,12 (2)</t>
  </si>
  <si>
    <t>113,85 (5)</t>
  </si>
  <si>
    <t>203,53 (1)</t>
  </si>
  <si>
    <t>119,04 (4)</t>
  </si>
  <si>
    <t>156,65 (3)</t>
  </si>
  <si>
    <t>142,25 (5)</t>
  </si>
  <si>
    <t>143,30 (4)</t>
  </si>
  <si>
    <t>130,04 (6)</t>
  </si>
  <si>
    <t>172,10 (1)</t>
  </si>
  <si>
    <t>93,4 (8)</t>
  </si>
  <si>
    <t>17,26 (1)</t>
  </si>
  <si>
    <t>17,10 (2)</t>
  </si>
  <si>
    <t>Диаграмма 1</t>
  </si>
  <si>
    <t>Диаграмма 2</t>
  </si>
  <si>
    <t>Диаграмма 3</t>
  </si>
  <si>
    <t>Диаграмма 4</t>
  </si>
  <si>
    <t>Диаграмма 5</t>
  </si>
  <si>
    <t>Диаграмма 6</t>
  </si>
  <si>
    <t>Диаграмма 7</t>
  </si>
  <si>
    <t>Диаграмма 9</t>
  </si>
  <si>
    <t>Диаграмма 10</t>
  </si>
  <si>
    <t>Диаграмма 11</t>
  </si>
  <si>
    <t>Диаграмма 12</t>
  </si>
  <si>
    <t>Капитальный дом с водоснабжением, водоотведением, теплоснабжением, горячим водоснабжением, вывозом и утилизацией ТБО, без учета лифта, мусоропровода, газоснабжения, электроснабжения руб. в месяц по состоянию на 01.05.06 года</t>
  </si>
  <si>
    <t>Капитальный дом с водоснабжением, водоотведением, теплоснабжением, горячим водоснабжением, вывозом и утилизацией ТБО, без учета лифта, мусоропровода, газоснабжения, электроснабжения руб. в месяц по состоянию на 01.08.06 года</t>
  </si>
  <si>
    <t>Диаграмма 13</t>
  </si>
  <si>
    <t>Диаграмма 8</t>
  </si>
  <si>
    <t>* - исчислена исходя из среднегодовой  ставки платы на услуги теплоснабжения.</t>
  </si>
  <si>
    <t>1008,9 (1)</t>
  </si>
  <si>
    <t>Размер платы на 01.05.06, руб./куб.м</t>
  </si>
  <si>
    <t>Размер платы на 01.08.06, руб./куб.м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</si>
</sst>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%"/>
    <numFmt numFmtId="180" formatCode="[$€-2]\ ###,000_);[Red]\([$€-2]\ ###,000\)"/>
  </numFmts>
  <fonts count="32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sz val="14"/>
      <name val="Arial Cyr"/>
      <family val="2"/>
    </font>
    <font>
      <sz val="9"/>
      <name val="Arial Cyr"/>
      <family val="2"/>
    </font>
    <font>
      <i/>
      <sz val="10"/>
      <color indexed="8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b/>
      <sz val="14.25"/>
      <name val="Arial Cyr"/>
      <family val="2"/>
    </font>
    <font>
      <sz val="18.5"/>
      <name val="Arial Cyr"/>
      <family val="0"/>
    </font>
    <font>
      <sz val="14.25"/>
      <name val="Arial Cyr"/>
      <family val="2"/>
    </font>
    <font>
      <sz val="18.25"/>
      <name val="Arial Cyr"/>
      <family val="0"/>
    </font>
    <font>
      <b/>
      <sz val="14"/>
      <name val="Arial Cyr"/>
      <family val="2"/>
    </font>
    <font>
      <b/>
      <sz val="14.5"/>
      <name val="Arial Cyr"/>
      <family val="2"/>
    </font>
    <font>
      <sz val="19.25"/>
      <name val="Arial Cyr"/>
      <family val="0"/>
    </font>
    <font>
      <sz val="14.5"/>
      <name val="Arial Cyr"/>
      <family val="2"/>
    </font>
    <font>
      <b/>
      <sz val="13.25"/>
      <name val="Arial Cyr"/>
      <family val="2"/>
    </font>
    <font>
      <sz val="13.25"/>
      <name val="Arial Cyr"/>
      <family val="2"/>
    </font>
    <font>
      <sz val="19.5"/>
      <name val="Arial Cyr"/>
      <family val="0"/>
    </font>
    <font>
      <sz val="12.25"/>
      <name val="Arial Cyr"/>
      <family val="2"/>
    </font>
    <font>
      <sz val="11"/>
      <name val="Times New Roman"/>
      <family val="1"/>
    </font>
    <font>
      <sz val="12"/>
      <name val="Arial"/>
      <family val="0"/>
    </font>
    <font>
      <i/>
      <sz val="12"/>
      <name val="Arial Cyr"/>
      <family val="0"/>
    </font>
    <font>
      <i/>
      <sz val="12"/>
      <name val="Arial"/>
      <family val="2"/>
    </font>
    <font>
      <sz val="11"/>
      <name val="Arial Cyr"/>
      <family val="0"/>
    </font>
    <font>
      <sz val="11"/>
      <name val="Arial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18" applyFont="1" applyFill="1">
      <alignment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wrapText="1"/>
      <protection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173" fontId="0" fillId="0" borderId="1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Fill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0" fillId="0" borderId="0" xfId="18" applyFont="1" applyFill="1">
      <alignment/>
      <protection/>
    </xf>
    <xf numFmtId="0" fontId="0" fillId="0" borderId="0" xfId="18" applyFont="1" applyFill="1" applyBorder="1" applyAlignment="1">
      <alignment wrapText="1"/>
      <protection/>
    </xf>
    <xf numFmtId="0" fontId="0" fillId="0" borderId="0" xfId="18" applyFont="1" applyFill="1" applyBorder="1" applyAlignment="1">
      <alignment horizontal="center" wrapText="1"/>
      <protection/>
    </xf>
    <xf numFmtId="0" fontId="0" fillId="0" borderId="0" xfId="18" applyFont="1" applyFill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5" fillId="0" borderId="0" xfId="18" applyFont="1" applyFill="1" applyAlignment="1">
      <alignment horizontal="left"/>
      <protection/>
    </xf>
    <xf numFmtId="0" fontId="5" fillId="0" borderId="0" xfId="18" applyFont="1" applyFill="1">
      <alignment/>
      <protection/>
    </xf>
    <xf numFmtId="0" fontId="0" fillId="0" borderId="2" xfId="18" applyFont="1" applyFill="1" applyBorder="1" applyAlignment="1">
      <alignment horizontal="center" vertical="center" wrapText="1"/>
      <protection/>
    </xf>
    <xf numFmtId="0" fontId="0" fillId="0" borderId="2" xfId="18" applyFont="1" applyFill="1" applyBorder="1" applyAlignment="1">
      <alignment horizontal="center" wrapText="1"/>
      <protection/>
    </xf>
    <xf numFmtId="2" fontId="0" fillId="0" borderId="3" xfId="18" applyNumberFormat="1" applyFont="1" applyFill="1" applyBorder="1" applyAlignment="1">
      <alignment horizontal="center" vertical="center" wrapText="1"/>
      <protection/>
    </xf>
    <xf numFmtId="0" fontId="0" fillId="0" borderId="4" xfId="18" applyFont="1" applyFill="1" applyBorder="1" applyAlignment="1">
      <alignment horizontal="right" vertical="top" wrapText="1"/>
      <protection/>
    </xf>
    <xf numFmtId="0" fontId="3" fillId="0" borderId="2" xfId="18" applyFont="1" applyFill="1" applyBorder="1" applyAlignment="1">
      <alignment horizontal="center" vertical="center" wrapText="1"/>
      <protection/>
    </xf>
    <xf numFmtId="0" fontId="0" fillId="0" borderId="5" xfId="18" applyFont="1" applyFill="1" applyBorder="1" applyAlignment="1">
      <alignment horizontal="right" vertical="top" wrapText="1"/>
      <protection/>
    </xf>
    <xf numFmtId="0" fontId="0" fillId="0" borderId="6" xfId="18" applyFont="1" applyFill="1" applyBorder="1" applyAlignment="1">
      <alignment horizontal="center" wrapText="1"/>
      <protection/>
    </xf>
    <xf numFmtId="0" fontId="0" fillId="0" borderId="6" xfId="18" applyFont="1" applyFill="1" applyBorder="1" applyAlignment="1">
      <alignment horizontal="left" vertical="center" wrapText="1"/>
      <protection/>
    </xf>
    <xf numFmtId="0" fontId="0" fillId="0" borderId="7" xfId="18" applyFont="1" applyFill="1" applyBorder="1" applyAlignment="1">
      <alignment horizontal="left" vertical="center" wrapText="1"/>
      <protection/>
    </xf>
    <xf numFmtId="173" fontId="4" fillId="0" borderId="1" xfId="18" applyNumberFormat="1" applyFont="1" applyFill="1" applyBorder="1" applyAlignment="1">
      <alignment horizontal="center" vertical="center" wrapText="1"/>
      <protection/>
    </xf>
    <xf numFmtId="2" fontId="4" fillId="0" borderId="2" xfId="18" applyNumberFormat="1" applyFont="1" applyFill="1" applyBorder="1" applyAlignment="1">
      <alignment horizontal="center" vertical="center" wrapText="1"/>
      <protection/>
    </xf>
    <xf numFmtId="173" fontId="4" fillId="0" borderId="3" xfId="18" applyNumberFormat="1" applyFont="1" applyFill="1" applyBorder="1" applyAlignment="1">
      <alignment horizontal="center" vertical="center" wrapText="1"/>
      <protection/>
    </xf>
    <xf numFmtId="2" fontId="4" fillId="0" borderId="8" xfId="18" applyNumberFormat="1" applyFont="1" applyFill="1" applyBorder="1" applyAlignment="1">
      <alignment horizontal="center" vertical="center" wrapText="1"/>
      <protection/>
    </xf>
    <xf numFmtId="2" fontId="0" fillId="2" borderId="1" xfId="18" applyNumberFormat="1" applyFont="1" applyFill="1" applyBorder="1" applyAlignment="1">
      <alignment horizontal="center" vertical="center" wrapText="1"/>
      <protection/>
    </xf>
    <xf numFmtId="0" fontId="0" fillId="0" borderId="9" xfId="18" applyFont="1" applyFill="1" applyBorder="1" applyAlignment="1">
      <alignment horizontal="center" wrapText="1"/>
      <protection/>
    </xf>
    <xf numFmtId="2" fontId="0" fillId="0" borderId="0" xfId="18" applyNumberFormat="1" applyFont="1" applyFill="1" applyBorder="1" applyAlignment="1">
      <alignment horizontal="center" vertical="center" wrapText="1"/>
      <protection/>
    </xf>
    <xf numFmtId="0" fontId="0" fillId="2" borderId="1" xfId="18" applyFont="1" applyFill="1" applyBorder="1" applyAlignment="1">
      <alignment horizontal="center" vertical="center" wrapText="1"/>
      <protection/>
    </xf>
    <xf numFmtId="0" fontId="0" fillId="2" borderId="2" xfId="18" applyFont="1" applyFill="1" applyBorder="1" applyAlignment="1">
      <alignment horizontal="center" vertical="center" wrapText="1"/>
      <protection/>
    </xf>
    <xf numFmtId="0" fontId="0" fillId="2" borderId="1" xfId="18" applyFont="1" applyFill="1" applyBorder="1" applyAlignment="1">
      <alignment horizontal="center" wrapText="1"/>
      <protection/>
    </xf>
    <xf numFmtId="0" fontId="0" fillId="2" borderId="9" xfId="18" applyFont="1" applyFill="1" applyBorder="1" applyAlignment="1">
      <alignment horizontal="center" wrapText="1"/>
      <protection/>
    </xf>
    <xf numFmtId="173" fontId="4" fillId="2" borderId="1" xfId="18" applyNumberFormat="1" applyFont="1" applyFill="1" applyBorder="1" applyAlignment="1">
      <alignment horizontal="center" vertical="center" wrapText="1"/>
      <protection/>
    </xf>
    <xf numFmtId="2" fontId="4" fillId="2" borderId="2" xfId="18" applyNumberFormat="1" applyFont="1" applyFill="1" applyBorder="1" applyAlignment="1">
      <alignment horizontal="center" vertical="center" wrapText="1"/>
      <protection/>
    </xf>
    <xf numFmtId="2" fontId="0" fillId="2" borderId="3" xfId="18" applyNumberFormat="1" applyFont="1" applyFill="1" applyBorder="1" applyAlignment="1">
      <alignment horizontal="center" vertical="center" wrapText="1"/>
      <protection/>
    </xf>
    <xf numFmtId="173" fontId="4" fillId="2" borderId="3" xfId="18" applyNumberFormat="1" applyFont="1" applyFill="1" applyBorder="1" applyAlignment="1">
      <alignment horizontal="center" vertical="center" wrapText="1"/>
      <protection/>
    </xf>
    <xf numFmtId="2" fontId="4" fillId="2" borderId="8" xfId="18" applyNumberFormat="1" applyFont="1" applyFill="1" applyBorder="1" applyAlignment="1">
      <alignment horizontal="center" vertical="center" wrapText="1"/>
      <protection/>
    </xf>
    <xf numFmtId="173" fontId="8" fillId="2" borderId="1" xfId="18" applyNumberFormat="1" applyFont="1" applyFill="1" applyBorder="1" applyAlignment="1">
      <alignment horizontal="center" vertical="center" wrapText="1"/>
      <protection/>
    </xf>
    <xf numFmtId="0" fontId="3" fillId="2" borderId="1" xfId="18" applyFont="1" applyFill="1" applyBorder="1" applyAlignment="1">
      <alignment horizontal="center" vertical="center" wrapText="1"/>
      <protection/>
    </xf>
    <xf numFmtId="0" fontId="3" fillId="2" borderId="2" xfId="18" applyFont="1" applyFill="1" applyBorder="1" applyAlignment="1">
      <alignment horizontal="center" vertical="center" wrapText="1"/>
      <protection/>
    </xf>
    <xf numFmtId="172" fontId="0" fillId="2" borderId="1" xfId="18" applyNumberFormat="1" applyFont="1" applyFill="1" applyBorder="1" applyAlignment="1">
      <alignment horizontal="center" vertical="center" wrapText="1"/>
      <protection/>
    </xf>
    <xf numFmtId="172" fontId="0" fillId="2" borderId="3" xfId="18" applyNumberFormat="1" applyFont="1" applyFill="1" applyBorder="1" applyAlignment="1">
      <alignment horizontal="center" vertical="center" wrapText="1"/>
      <protection/>
    </xf>
    <xf numFmtId="173" fontId="0" fillId="2" borderId="1" xfId="18" applyNumberFormat="1" applyFont="1" applyFill="1" applyBorder="1" applyAlignment="1">
      <alignment horizontal="center" vertical="center" wrapText="1"/>
      <protection/>
    </xf>
    <xf numFmtId="0" fontId="0" fillId="2" borderId="2" xfId="18" applyFont="1" applyFill="1" applyBorder="1" applyAlignment="1">
      <alignment horizontal="center" wrapText="1"/>
      <protection/>
    </xf>
    <xf numFmtId="173" fontId="0" fillId="2" borderId="3" xfId="18" applyNumberFormat="1" applyFont="1" applyFill="1" applyBorder="1" applyAlignment="1">
      <alignment horizontal="center" vertical="center" wrapText="1"/>
      <protection/>
    </xf>
    <xf numFmtId="0" fontId="0" fillId="0" borderId="0" xfId="18" applyFont="1" applyFill="1" applyBorder="1" applyAlignment="1">
      <alignment horizontal="left" vertical="center" wrapText="1"/>
      <protection/>
    </xf>
    <xf numFmtId="2" fontId="0" fillId="2" borderId="0" xfId="18" applyNumberFormat="1" applyFont="1" applyFill="1" applyBorder="1" applyAlignment="1">
      <alignment horizontal="center" vertical="center" wrapText="1"/>
      <protection/>
    </xf>
    <xf numFmtId="173" fontId="0" fillId="2" borderId="0" xfId="18" applyNumberFormat="1" applyFont="1" applyFill="1" applyBorder="1" applyAlignment="1">
      <alignment horizontal="center" vertical="center" wrapText="1"/>
      <protection/>
    </xf>
    <xf numFmtId="0" fontId="0" fillId="2" borderId="0" xfId="18" applyFont="1" applyFill="1" applyBorder="1" applyAlignment="1">
      <alignment horizontal="center" vertical="center" wrapText="1"/>
      <protection/>
    </xf>
    <xf numFmtId="2" fontId="8" fillId="2" borderId="2" xfId="18" applyNumberFormat="1" applyFont="1" applyFill="1" applyBorder="1" applyAlignment="1">
      <alignment horizontal="center" vertical="center" wrapText="1"/>
      <protection/>
    </xf>
    <xf numFmtId="173" fontId="8" fillId="2" borderId="3" xfId="18" applyNumberFormat="1" applyFont="1" applyFill="1" applyBorder="1" applyAlignment="1">
      <alignment horizontal="center" vertical="center" wrapText="1"/>
      <protection/>
    </xf>
    <xf numFmtId="2" fontId="8" fillId="2" borderId="8" xfId="18" applyNumberFormat="1" applyFont="1" applyFill="1" applyBorder="1" applyAlignment="1">
      <alignment horizontal="center" vertical="center" wrapText="1"/>
      <protection/>
    </xf>
    <xf numFmtId="0" fontId="3" fillId="0" borderId="0" xfId="18" applyFont="1" applyFill="1" applyBorder="1" applyAlignment="1">
      <alignment horizontal="center" vertical="center" wrapText="1"/>
      <protection/>
    </xf>
    <xf numFmtId="0" fontId="6" fillId="0" borderId="0" xfId="18" applyFont="1" applyFill="1" applyBorder="1" applyAlignment="1">
      <alignment horizontal="center" wrapText="1"/>
      <protection/>
    </xf>
    <xf numFmtId="2" fontId="0" fillId="2" borderId="1" xfId="18" applyNumberFormat="1" applyFont="1" applyFill="1" applyBorder="1" applyAlignment="1">
      <alignment horizontal="center" vertical="center" wrapText="1"/>
      <protection/>
    </xf>
    <xf numFmtId="173" fontId="0" fillId="2" borderId="1" xfId="18" applyNumberFormat="1" applyFont="1" applyFill="1" applyBorder="1" applyAlignment="1">
      <alignment horizontal="center" vertical="center" wrapText="1"/>
      <protection/>
    </xf>
    <xf numFmtId="173" fontId="0" fillId="0" borderId="1" xfId="18" applyNumberFormat="1" applyFont="1" applyFill="1" applyBorder="1" applyAlignment="1">
      <alignment horizontal="center" vertical="center" wrapText="1"/>
      <protection/>
    </xf>
    <xf numFmtId="2" fontId="0" fillId="2" borderId="1" xfId="18" applyNumberFormat="1" applyFont="1" applyFill="1" applyBorder="1" applyAlignment="1">
      <alignment horizontal="center" vertical="center" wrapText="1"/>
      <protection/>
    </xf>
    <xf numFmtId="173" fontId="4" fillId="2" borderId="1" xfId="18" applyNumberFormat="1" applyFont="1" applyFill="1" applyBorder="1" applyAlignment="1">
      <alignment horizontal="center" vertical="center" wrapText="1"/>
      <protection/>
    </xf>
    <xf numFmtId="2" fontId="4" fillId="2" borderId="2" xfId="18" applyNumberFormat="1" applyFont="1" applyFill="1" applyBorder="1" applyAlignment="1">
      <alignment horizontal="center" vertical="center" wrapText="1"/>
      <protection/>
    </xf>
    <xf numFmtId="2" fontId="0" fillId="2" borderId="1" xfId="18" applyNumberFormat="1" applyFont="1" applyFill="1" applyBorder="1" applyAlignment="1">
      <alignment horizontal="center" vertical="center" wrapText="1"/>
      <protection/>
    </xf>
    <xf numFmtId="0" fontId="1" fillId="0" borderId="10" xfId="18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horizontal="center"/>
      <protection/>
    </xf>
    <xf numFmtId="0" fontId="1" fillId="0" borderId="2" xfId="18" applyFont="1" applyFill="1" applyBorder="1" applyAlignment="1">
      <alignment horizontal="center"/>
      <protection/>
    </xf>
    <xf numFmtId="0" fontId="1" fillId="0" borderId="11" xfId="18" applyFont="1" applyFill="1" applyBorder="1" applyAlignment="1">
      <alignment horizontal="center" vertical="center" wrapText="1"/>
      <protection/>
    </xf>
    <xf numFmtId="0" fontId="1" fillId="0" borderId="12" xfId="18" applyFont="1" applyFill="1" applyBorder="1" applyAlignment="1">
      <alignment horizontal="center" vertical="center" wrapText="1"/>
      <protection/>
    </xf>
    <xf numFmtId="0" fontId="0" fillId="2" borderId="10" xfId="18" applyFont="1" applyFill="1" applyBorder="1" applyAlignment="1">
      <alignment horizontal="center" wrapText="1"/>
      <protection/>
    </xf>
    <xf numFmtId="173" fontId="9" fillId="0" borderId="1" xfId="18" applyNumberFormat="1" applyFont="1" applyFill="1" applyBorder="1" applyAlignment="1">
      <alignment horizontal="center" vertical="center" wrapText="1"/>
      <protection/>
    </xf>
    <xf numFmtId="2" fontId="9" fillId="0" borderId="2" xfId="18" applyNumberFormat="1" applyFont="1" applyFill="1" applyBorder="1" applyAlignment="1">
      <alignment horizontal="center" vertical="center" wrapText="1"/>
      <protection/>
    </xf>
    <xf numFmtId="173" fontId="9" fillId="0" borderId="3" xfId="18" applyNumberFormat="1" applyFont="1" applyFill="1" applyBorder="1" applyAlignment="1">
      <alignment horizontal="center" vertical="center" wrapText="1"/>
      <protection/>
    </xf>
    <xf numFmtId="2" fontId="9" fillId="0" borderId="8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Fill="1" applyAlignment="1">
      <alignment horizontal="center" vertical="center" wrapText="1"/>
      <protection/>
    </xf>
    <xf numFmtId="172" fontId="1" fillId="0" borderId="1" xfId="18" applyNumberFormat="1" applyFont="1" applyFill="1" applyBorder="1" applyAlignment="1">
      <alignment horizontal="center" vertical="center" wrapText="1"/>
      <protection/>
    </xf>
    <xf numFmtId="173" fontId="1" fillId="0" borderId="1" xfId="18" applyNumberFormat="1" applyFont="1" applyFill="1" applyBorder="1" applyAlignment="1">
      <alignment horizontal="center" vertical="center" wrapText="1"/>
      <protection/>
    </xf>
    <xf numFmtId="0" fontId="0" fillId="0" borderId="13" xfId="18" applyFont="1" applyFill="1" applyBorder="1" applyAlignment="1">
      <alignment horizontal="center" wrapText="1"/>
      <protection/>
    </xf>
    <xf numFmtId="173" fontId="1" fillId="0" borderId="3" xfId="18" applyNumberFormat="1" applyFont="1" applyFill="1" applyBorder="1" applyAlignment="1">
      <alignment horizontal="center" vertical="center" wrapText="1"/>
      <protection/>
    </xf>
    <xf numFmtId="173" fontId="0" fillId="0" borderId="1" xfId="18" applyNumberFormat="1" applyFont="1" applyFill="1" applyBorder="1" applyAlignment="1">
      <alignment horizontal="center" vertical="center" wrapText="1"/>
      <protection/>
    </xf>
    <xf numFmtId="173" fontId="4" fillId="0" borderId="13" xfId="18" applyNumberFormat="1" applyFont="1" applyFill="1" applyBorder="1" applyAlignment="1">
      <alignment horizontal="center" vertical="center" wrapText="1"/>
      <protection/>
    </xf>
    <xf numFmtId="173" fontId="4" fillId="2" borderId="13" xfId="18" applyNumberFormat="1" applyFont="1" applyFill="1" applyBorder="1" applyAlignment="1">
      <alignment horizontal="center" vertical="center" wrapText="1"/>
      <protection/>
    </xf>
    <xf numFmtId="173" fontId="4" fillId="0" borderId="14" xfId="18" applyNumberFormat="1" applyFont="1" applyFill="1" applyBorder="1" applyAlignment="1">
      <alignment horizontal="center" vertical="center" wrapText="1"/>
      <protection/>
    </xf>
    <xf numFmtId="172" fontId="0" fillId="2" borderId="1" xfId="18" applyNumberFormat="1" applyFont="1" applyFill="1" applyBorder="1" applyAlignment="1">
      <alignment horizontal="center" vertical="center" wrapText="1"/>
      <protection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173" fontId="4" fillId="0" borderId="1" xfId="18" applyNumberFormat="1" applyFont="1" applyFill="1" applyBorder="1" applyAlignment="1">
      <alignment horizontal="center" vertical="center" wrapText="1"/>
      <protection/>
    </xf>
    <xf numFmtId="2" fontId="4" fillId="0" borderId="2" xfId="18" applyNumberFormat="1" applyFont="1" applyFill="1" applyBorder="1" applyAlignment="1">
      <alignment horizontal="center" vertical="center" wrapText="1"/>
      <protection/>
    </xf>
    <xf numFmtId="2" fontId="0" fillId="2" borderId="2" xfId="18" applyNumberFormat="1" applyFont="1" applyFill="1" applyBorder="1" applyAlignment="1">
      <alignment horizontal="center" vertical="center" wrapText="1"/>
      <protection/>
    </xf>
    <xf numFmtId="2" fontId="0" fillId="2" borderId="3" xfId="18" applyNumberFormat="1" applyFont="1" applyFill="1" applyBorder="1" applyAlignment="1">
      <alignment horizontal="center" vertical="center" wrapText="1"/>
      <protection/>
    </xf>
    <xf numFmtId="173" fontId="0" fillId="2" borderId="3" xfId="18" applyNumberFormat="1" applyFont="1" applyFill="1" applyBorder="1" applyAlignment="1">
      <alignment horizontal="center" vertical="center" wrapText="1"/>
      <protection/>
    </xf>
    <xf numFmtId="2" fontId="0" fillId="2" borderId="8" xfId="18" applyNumberFormat="1" applyFont="1" applyFill="1" applyBorder="1" applyAlignment="1">
      <alignment horizontal="center" vertical="center" wrapText="1"/>
      <protection/>
    </xf>
    <xf numFmtId="2" fontId="0" fillId="2" borderId="2" xfId="18" applyNumberFormat="1" applyFont="1" applyFill="1" applyBorder="1" applyAlignment="1">
      <alignment horizontal="center" vertical="center" wrapText="1"/>
      <protection/>
    </xf>
    <xf numFmtId="0" fontId="0" fillId="2" borderId="0" xfId="18" applyFont="1" applyFill="1" applyBorder="1" applyAlignment="1">
      <alignment horizontal="center" wrapText="1"/>
      <protection/>
    </xf>
    <xf numFmtId="2" fontId="0" fillId="2" borderId="0" xfId="18" applyNumberFormat="1" applyFont="1" applyFill="1" applyBorder="1" applyAlignment="1">
      <alignment horizontal="center" vertical="center" wrapText="1"/>
      <protection/>
    </xf>
    <xf numFmtId="173" fontId="4" fillId="2" borderId="0" xfId="18" applyNumberFormat="1" applyFont="1" applyFill="1" applyBorder="1" applyAlignment="1">
      <alignment horizontal="center" vertical="center" wrapText="1"/>
      <protection/>
    </xf>
    <xf numFmtId="2" fontId="4" fillId="2" borderId="0" xfId="18" applyNumberFormat="1" applyFont="1" applyFill="1" applyBorder="1" applyAlignment="1">
      <alignment horizontal="center" vertical="center" wrapText="1"/>
      <protection/>
    </xf>
    <xf numFmtId="173" fontId="4" fillId="2" borderId="0" xfId="18" applyNumberFormat="1" applyFont="1" applyFill="1" applyBorder="1" applyAlignment="1">
      <alignment horizontal="center" vertical="center" wrapText="1"/>
      <protection/>
    </xf>
    <xf numFmtId="2" fontId="4" fillId="2" borderId="0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Fill="1" applyBorder="1">
      <alignment/>
      <protection/>
    </xf>
    <xf numFmtId="172" fontId="0" fillId="2" borderId="1" xfId="18" applyNumberFormat="1" applyFont="1" applyFill="1" applyBorder="1" applyAlignment="1">
      <alignment horizontal="center" vertical="center" wrapText="1"/>
      <protection/>
    </xf>
    <xf numFmtId="0" fontId="3" fillId="2" borderId="0" xfId="18" applyFont="1" applyFill="1" applyBorder="1" applyAlignment="1">
      <alignment horizontal="center" vertical="center" wrapText="1"/>
      <protection/>
    </xf>
    <xf numFmtId="173" fontId="1" fillId="0" borderId="11" xfId="18" applyNumberFormat="1" applyFont="1" applyFill="1" applyBorder="1" applyAlignment="1">
      <alignment horizontal="center" vertical="center" wrapText="1"/>
      <protection/>
    </xf>
    <xf numFmtId="173" fontId="1" fillId="0" borderId="12" xfId="18" applyNumberFormat="1" applyFont="1" applyFill="1" applyBorder="1" applyAlignment="1">
      <alignment horizontal="center" vertical="center" wrapText="1"/>
      <protection/>
    </xf>
    <xf numFmtId="173" fontId="0" fillId="0" borderId="11" xfId="18" applyNumberFormat="1" applyFont="1" applyFill="1" applyBorder="1" applyAlignment="1">
      <alignment horizontal="center" vertical="center" wrapText="1"/>
      <protection/>
    </xf>
    <xf numFmtId="0" fontId="0" fillId="0" borderId="11" xfId="18" applyFont="1" applyFill="1" applyBorder="1" applyAlignment="1">
      <alignment horizontal="center" wrapText="1"/>
      <protection/>
    </xf>
    <xf numFmtId="0" fontId="0" fillId="0" borderId="10" xfId="18" applyFont="1" applyFill="1" applyBorder="1" applyAlignment="1">
      <alignment horizontal="center" wrapText="1"/>
      <protection/>
    </xf>
    <xf numFmtId="0" fontId="0" fillId="0" borderId="6" xfId="18" applyFont="1" applyFill="1" applyBorder="1" applyAlignment="1">
      <alignment horizontal="left" vertical="center" wrapText="1"/>
      <protection/>
    </xf>
    <xf numFmtId="2" fontId="0" fillId="2" borderId="11" xfId="18" applyNumberFormat="1" applyFont="1" applyFill="1" applyBorder="1" applyAlignment="1">
      <alignment horizontal="center" vertical="center" wrapText="1"/>
      <protection/>
    </xf>
    <xf numFmtId="2" fontId="0" fillId="2" borderId="12" xfId="18" applyNumberFormat="1" applyFont="1" applyFill="1" applyBorder="1" applyAlignment="1">
      <alignment horizontal="center" vertical="center" wrapText="1"/>
      <protection/>
    </xf>
    <xf numFmtId="2" fontId="0" fillId="2" borderId="0" xfId="18" applyNumberFormat="1" applyFont="1" applyFill="1" applyBorder="1" applyAlignment="1">
      <alignment horizontal="center" vertical="center" wrapText="1"/>
      <protection/>
    </xf>
    <xf numFmtId="173" fontId="0" fillId="2" borderId="0" xfId="18" applyNumberFormat="1" applyFont="1" applyFill="1" applyBorder="1" applyAlignment="1">
      <alignment horizontal="center" vertical="center" wrapText="1"/>
      <protection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173" fontId="8" fillId="0" borderId="1" xfId="18" applyNumberFormat="1" applyFont="1" applyFill="1" applyBorder="1" applyAlignment="1">
      <alignment horizontal="center" vertical="center" wrapText="1"/>
      <protection/>
    </xf>
    <xf numFmtId="2" fontId="8" fillId="0" borderId="2" xfId="18" applyNumberFormat="1" applyFont="1" applyFill="1" applyBorder="1" applyAlignment="1">
      <alignment horizontal="center" vertical="center" wrapText="1"/>
      <protection/>
    </xf>
    <xf numFmtId="173" fontId="8" fillId="0" borderId="1" xfId="18" applyNumberFormat="1" applyFont="1" applyFill="1" applyBorder="1" applyAlignment="1">
      <alignment horizontal="center" vertical="center" wrapText="1"/>
      <protection/>
    </xf>
    <xf numFmtId="2" fontId="8" fillId="0" borderId="2" xfId="18" applyNumberFormat="1" applyFont="1" applyFill="1" applyBorder="1" applyAlignment="1">
      <alignment horizontal="center" vertical="center" wrapText="1"/>
      <protection/>
    </xf>
    <xf numFmtId="2" fontId="0" fillId="2" borderId="0" xfId="18" applyNumberFormat="1" applyFont="1" applyFill="1" applyBorder="1" applyAlignment="1">
      <alignment horizontal="center" vertical="center" wrapText="1"/>
      <protection/>
    </xf>
    <xf numFmtId="0" fontId="0" fillId="2" borderId="11" xfId="18" applyFont="1" applyFill="1" applyBorder="1" applyAlignment="1">
      <alignment horizontal="center" wrapText="1"/>
      <protection/>
    </xf>
    <xf numFmtId="2" fontId="0" fillId="2" borderId="11" xfId="18" applyNumberFormat="1" applyFont="1" applyFill="1" applyBorder="1" applyAlignment="1">
      <alignment horizontal="center" vertical="center" wrapText="1"/>
      <protection/>
    </xf>
    <xf numFmtId="2" fontId="0" fillId="2" borderId="12" xfId="18" applyNumberFormat="1" applyFont="1" applyFill="1" applyBorder="1" applyAlignment="1">
      <alignment horizontal="center" vertical="center" wrapText="1"/>
      <protection/>
    </xf>
    <xf numFmtId="2" fontId="0" fillId="2" borderId="11" xfId="18" applyNumberFormat="1" applyFont="1" applyFill="1" applyBorder="1" applyAlignment="1">
      <alignment horizontal="center" vertical="center" wrapText="1"/>
      <protection/>
    </xf>
    <xf numFmtId="0" fontId="1" fillId="0" borderId="11" xfId="18" applyFont="1" applyFill="1" applyBorder="1" applyAlignment="1">
      <alignment horizontal="center"/>
      <protection/>
    </xf>
    <xf numFmtId="0" fontId="7" fillId="2" borderId="1" xfId="18" applyFont="1" applyFill="1" applyBorder="1" applyAlignment="1">
      <alignment horizontal="center" wrapText="1"/>
      <protection/>
    </xf>
    <xf numFmtId="173" fontId="4" fillId="0" borderId="13" xfId="18" applyNumberFormat="1" applyFont="1" applyFill="1" applyBorder="1" applyAlignment="1">
      <alignment horizontal="center" vertical="center" wrapText="1"/>
      <protection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0" fillId="0" borderId="11" xfId="18" applyFont="1" applyFill="1" applyBorder="1" applyAlignment="1">
      <alignment horizontal="center" vertical="center" wrapText="1"/>
      <protection/>
    </xf>
    <xf numFmtId="0" fontId="0" fillId="0" borderId="15" xfId="18" applyFont="1" applyFill="1" applyBorder="1" applyAlignment="1">
      <alignment horizontal="left" wrapText="1"/>
      <protection/>
    </xf>
    <xf numFmtId="2" fontId="1" fillId="0" borderId="1" xfId="18" applyNumberFormat="1" applyFont="1" applyFill="1" applyBorder="1" applyAlignment="1">
      <alignment horizontal="center" vertical="center" wrapText="1"/>
      <protection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2" fontId="1" fillId="0" borderId="3" xfId="18" applyNumberFormat="1" applyFont="1" applyFill="1" applyBorder="1" applyAlignment="1">
      <alignment horizontal="center" vertical="center" wrapText="1"/>
      <protection/>
    </xf>
    <xf numFmtId="173" fontId="12" fillId="0" borderId="1" xfId="18" applyNumberFormat="1" applyFont="1" applyFill="1" applyBorder="1" applyAlignment="1">
      <alignment horizontal="center" vertical="center" wrapText="1"/>
      <protection/>
    </xf>
    <xf numFmtId="173" fontId="12" fillId="0" borderId="3" xfId="18" applyNumberFormat="1" applyFont="1" applyFill="1" applyBorder="1" applyAlignment="1">
      <alignment horizontal="center" vertical="center" wrapText="1"/>
      <protection/>
    </xf>
    <xf numFmtId="173" fontId="0" fillId="0" borderId="11" xfId="18" applyNumberFormat="1" applyFont="1" applyFill="1" applyBorder="1" applyAlignment="1">
      <alignment horizontal="center" vertical="center" wrapText="1"/>
      <protection/>
    </xf>
    <xf numFmtId="173" fontId="0" fillId="2" borderId="11" xfId="18" applyNumberFormat="1" applyFont="1" applyFill="1" applyBorder="1" applyAlignment="1">
      <alignment horizontal="center" vertical="center" wrapText="1"/>
      <protection/>
    </xf>
    <xf numFmtId="173" fontId="0" fillId="2" borderId="12" xfId="18" applyNumberFormat="1" applyFont="1" applyFill="1" applyBorder="1" applyAlignment="1">
      <alignment horizontal="center" vertical="center" wrapText="1"/>
      <protection/>
    </xf>
    <xf numFmtId="0" fontId="1" fillId="0" borderId="16" xfId="18" applyFont="1" applyFill="1" applyBorder="1" applyAlignment="1">
      <alignment horizontal="center"/>
      <protection/>
    </xf>
    <xf numFmtId="2" fontId="0" fillId="0" borderId="2" xfId="18" applyNumberFormat="1" applyFont="1" applyFill="1" applyBorder="1" applyAlignment="1">
      <alignment horizontal="center" vertical="center" wrapText="1"/>
      <protection/>
    </xf>
    <xf numFmtId="2" fontId="0" fillId="0" borderId="11" xfId="18" applyNumberFormat="1" applyFont="1" applyFill="1" applyBorder="1" applyAlignment="1">
      <alignment horizontal="center" vertical="center" wrapText="1"/>
      <protection/>
    </xf>
    <xf numFmtId="2" fontId="0" fillId="0" borderId="11" xfId="18" applyNumberFormat="1" applyFont="1" applyFill="1" applyBorder="1" applyAlignment="1">
      <alignment horizontal="center" vertical="center" wrapText="1"/>
      <protection/>
    </xf>
    <xf numFmtId="2" fontId="0" fillId="0" borderId="12" xfId="18" applyNumberFormat="1" applyFont="1" applyFill="1" applyBorder="1" applyAlignment="1">
      <alignment horizontal="center" vertical="center" wrapText="1"/>
      <protection/>
    </xf>
    <xf numFmtId="49" fontId="0" fillId="0" borderId="5" xfId="18" applyNumberFormat="1" applyFont="1" applyFill="1" applyBorder="1" applyAlignment="1">
      <alignment horizontal="right" vertical="top" wrapText="1"/>
      <protection/>
    </xf>
    <xf numFmtId="2" fontId="0" fillId="0" borderId="11" xfId="18" applyNumberFormat="1" applyFont="1" applyFill="1" applyBorder="1" applyAlignment="1">
      <alignment horizontal="center" vertical="center" wrapText="1"/>
      <protection/>
    </xf>
    <xf numFmtId="0" fontId="7" fillId="2" borderId="2" xfId="18" applyFont="1" applyFill="1" applyBorder="1" applyAlignment="1">
      <alignment horizontal="center" vertical="center" wrapText="1"/>
      <protection/>
    </xf>
    <xf numFmtId="0" fontId="0" fillId="0" borderId="0" xfId="18" applyFont="1" applyFill="1" applyBorder="1" applyAlignment="1">
      <alignment horizontal="left" vertical="center" wrapText="1"/>
      <protection/>
    </xf>
    <xf numFmtId="0" fontId="0" fillId="0" borderId="0" xfId="18" applyFont="1" applyFill="1" applyBorder="1" applyAlignment="1">
      <alignment horizontal="left" vertical="center"/>
      <protection/>
    </xf>
    <xf numFmtId="2" fontId="0" fillId="0" borderId="0" xfId="0" applyNumberFormat="1" applyAlignment="1">
      <alignment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49" fontId="2" fillId="0" borderId="0" xfId="18" applyNumberFormat="1" applyFont="1" applyFill="1" applyAlignment="1">
      <alignment vertical="center" wrapText="1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0" fontId="2" fillId="0" borderId="0" xfId="18" applyFont="1" applyFill="1" applyAlignment="1">
      <alignment vertical="center" wrapText="1"/>
      <protection/>
    </xf>
    <xf numFmtId="0" fontId="2" fillId="0" borderId="5" xfId="18" applyFont="1" applyFill="1" applyBorder="1" applyAlignment="1">
      <alignment horizontal="right" vertical="top" wrapText="1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2" xfId="18" applyFont="1" applyFill="1" applyBorder="1" applyAlignment="1">
      <alignment horizontal="center" vertical="center" wrapText="1"/>
      <protection/>
    </xf>
    <xf numFmtId="0" fontId="2" fillId="0" borderId="6" xfId="18" applyFont="1" applyFill="1" applyBorder="1" applyAlignment="1">
      <alignment horizontal="center" wrapText="1"/>
      <protection/>
    </xf>
    <xf numFmtId="0" fontId="2" fillId="0" borderId="10" xfId="18" applyFont="1" applyFill="1" applyBorder="1" applyAlignment="1">
      <alignment horizontal="center" wrapText="1"/>
      <protection/>
    </xf>
    <xf numFmtId="0" fontId="2" fillId="0" borderId="1" xfId="18" applyFont="1" applyFill="1" applyBorder="1" applyAlignment="1">
      <alignment horizontal="center" wrapText="1"/>
      <protection/>
    </xf>
    <xf numFmtId="0" fontId="2" fillId="0" borderId="2" xfId="18" applyFont="1" applyFill="1" applyBorder="1" applyAlignment="1">
      <alignment horizontal="center" wrapText="1"/>
      <protection/>
    </xf>
    <xf numFmtId="0" fontId="26" fillId="0" borderId="11" xfId="18" applyFont="1" applyFill="1" applyBorder="1" applyAlignment="1">
      <alignment horizontal="center"/>
      <protection/>
    </xf>
    <xf numFmtId="0" fontId="26" fillId="0" borderId="1" xfId="18" applyFont="1" applyFill="1" applyBorder="1" applyAlignment="1">
      <alignment horizontal="center"/>
      <protection/>
    </xf>
    <xf numFmtId="0" fontId="26" fillId="0" borderId="2" xfId="18" applyFont="1" applyFill="1" applyBorder="1" applyAlignment="1">
      <alignment horizontal="center"/>
      <protection/>
    </xf>
    <xf numFmtId="0" fontId="26" fillId="0" borderId="10" xfId="18" applyFont="1" applyFill="1" applyBorder="1" applyAlignment="1">
      <alignment horizontal="center"/>
      <protection/>
    </xf>
    <xf numFmtId="0" fontId="2" fillId="0" borderId="6" xfId="18" applyFont="1" applyFill="1" applyBorder="1" applyAlignment="1">
      <alignment horizontal="left" vertical="center" wrapText="1"/>
      <protection/>
    </xf>
    <xf numFmtId="173" fontId="2" fillId="0" borderId="1" xfId="18" applyNumberFormat="1" applyFont="1" applyFill="1" applyBorder="1" applyAlignment="1">
      <alignment horizontal="center" vertical="center" wrapText="1"/>
      <protection/>
    </xf>
    <xf numFmtId="173" fontId="27" fillId="0" borderId="2" xfId="18" applyNumberFormat="1" applyFont="1" applyFill="1" applyBorder="1" applyAlignment="1">
      <alignment horizontal="center" vertical="center" wrapText="1"/>
      <protection/>
    </xf>
    <xf numFmtId="173" fontId="26" fillId="0" borderId="11" xfId="18" applyNumberFormat="1" applyFont="1" applyFill="1" applyBorder="1" applyAlignment="1">
      <alignment horizontal="center" vertical="center" wrapText="1"/>
      <protection/>
    </xf>
    <xf numFmtId="173" fontId="28" fillId="0" borderId="9" xfId="18" applyNumberFormat="1" applyFont="1" applyFill="1" applyBorder="1" applyAlignment="1">
      <alignment horizontal="center" vertical="center" wrapText="1"/>
      <protection/>
    </xf>
    <xf numFmtId="173" fontId="26" fillId="0" borderId="1" xfId="18" applyNumberFormat="1" applyFont="1" applyFill="1" applyBorder="1" applyAlignment="1">
      <alignment horizontal="center" vertical="center" wrapText="1"/>
      <protection/>
    </xf>
    <xf numFmtId="173" fontId="28" fillId="0" borderId="2" xfId="18" applyNumberFormat="1" applyFont="1" applyFill="1" applyBorder="1" applyAlignment="1">
      <alignment horizontal="center" vertical="center" wrapText="1"/>
      <protection/>
    </xf>
    <xf numFmtId="0" fontId="2" fillId="0" borderId="6" xfId="18" applyFont="1" applyFill="1" applyBorder="1" applyAlignment="1">
      <alignment horizontal="left" vertical="center" wrapText="1"/>
      <protection/>
    </xf>
    <xf numFmtId="173" fontId="2" fillId="0" borderId="1" xfId="18" applyNumberFormat="1" applyFont="1" applyFill="1" applyBorder="1" applyAlignment="1">
      <alignment horizontal="center" vertical="center" wrapText="1"/>
      <protection/>
    </xf>
    <xf numFmtId="173" fontId="27" fillId="0" borderId="2" xfId="18" applyNumberFormat="1" applyFont="1" applyFill="1" applyBorder="1" applyAlignment="1">
      <alignment horizontal="center" vertical="center" wrapText="1"/>
      <protection/>
    </xf>
    <xf numFmtId="173" fontId="2" fillId="2" borderId="1" xfId="18" applyNumberFormat="1" applyFont="1" applyFill="1" applyBorder="1" applyAlignment="1">
      <alignment horizontal="center" vertical="center" wrapText="1"/>
      <protection/>
    </xf>
    <xf numFmtId="173" fontId="27" fillId="2" borderId="2" xfId="18" applyNumberFormat="1" applyFont="1" applyFill="1" applyBorder="1" applyAlignment="1">
      <alignment horizontal="center" vertical="center" wrapText="1"/>
      <protection/>
    </xf>
    <xf numFmtId="173" fontId="26" fillId="0" borderId="9" xfId="18" applyNumberFormat="1" applyFont="1" applyFill="1" applyBorder="1" applyAlignment="1">
      <alignment horizontal="center" vertical="center" wrapText="1"/>
      <protection/>
    </xf>
    <xf numFmtId="0" fontId="2" fillId="0" borderId="7" xfId="18" applyFont="1" applyFill="1" applyBorder="1" applyAlignment="1">
      <alignment horizontal="left" vertical="center" wrapText="1"/>
      <protection/>
    </xf>
    <xf numFmtId="173" fontId="2" fillId="2" borderId="3" xfId="18" applyNumberFormat="1" applyFont="1" applyFill="1" applyBorder="1" applyAlignment="1">
      <alignment horizontal="center" vertical="center" wrapText="1"/>
      <protection/>
    </xf>
    <xf numFmtId="173" fontId="27" fillId="2" borderId="8" xfId="18" applyNumberFormat="1" applyFont="1" applyFill="1" applyBorder="1" applyAlignment="1">
      <alignment horizontal="center" vertical="center" wrapText="1"/>
      <protection/>
    </xf>
    <xf numFmtId="173" fontId="26" fillId="0" borderId="12" xfId="18" applyNumberFormat="1" applyFont="1" applyFill="1" applyBorder="1" applyAlignment="1">
      <alignment horizontal="center" vertical="center" wrapText="1"/>
      <protection/>
    </xf>
    <xf numFmtId="173" fontId="28" fillId="0" borderId="8" xfId="18" applyNumberFormat="1" applyFont="1" applyFill="1" applyBorder="1" applyAlignment="1">
      <alignment horizontal="center" vertical="center" wrapText="1"/>
      <protection/>
    </xf>
    <xf numFmtId="173" fontId="26" fillId="0" borderId="3" xfId="18" applyNumberFormat="1" applyFont="1" applyFill="1" applyBorder="1" applyAlignment="1">
      <alignment horizontal="center" vertical="center" wrapText="1"/>
      <protection/>
    </xf>
    <xf numFmtId="2" fontId="0" fillId="2" borderId="2" xfId="18" applyNumberFormat="1" applyFont="1" applyFill="1" applyBorder="1" applyAlignment="1">
      <alignment horizontal="center" vertical="center" wrapText="1"/>
      <protection/>
    </xf>
    <xf numFmtId="172" fontId="0" fillId="2" borderId="3" xfId="18" applyNumberFormat="1" applyFont="1" applyFill="1" applyBorder="1" applyAlignment="1">
      <alignment horizontal="center" vertical="center" wrapText="1"/>
      <protection/>
    </xf>
    <xf numFmtId="173" fontId="4" fillId="2" borderId="3" xfId="18" applyNumberFormat="1" applyFont="1" applyFill="1" applyBorder="1" applyAlignment="1">
      <alignment horizontal="center" vertical="center" wrapText="1"/>
      <protection/>
    </xf>
    <xf numFmtId="2" fontId="4" fillId="2" borderId="8" xfId="18" applyNumberFormat="1" applyFont="1" applyFill="1" applyBorder="1" applyAlignment="1">
      <alignment horizontal="center" vertical="center" wrapText="1"/>
      <protection/>
    </xf>
    <xf numFmtId="2" fontId="0" fillId="2" borderId="3" xfId="18" applyNumberFormat="1" applyFont="1" applyFill="1" applyBorder="1" applyAlignment="1">
      <alignment horizontal="center" vertical="center" wrapText="1"/>
      <protection/>
    </xf>
    <xf numFmtId="2" fontId="0" fillId="2" borderId="8" xfId="18" applyNumberFormat="1" applyFont="1" applyFill="1" applyBorder="1" applyAlignment="1">
      <alignment horizontal="center" vertical="center" wrapText="1"/>
      <protection/>
    </xf>
    <xf numFmtId="173" fontId="0" fillId="2" borderId="1" xfId="18" applyNumberFormat="1" applyFont="1" applyFill="1" applyBorder="1" applyAlignment="1">
      <alignment horizontal="center" vertical="center" wrapText="1"/>
      <protection/>
    </xf>
    <xf numFmtId="173" fontId="29" fillId="0" borderId="10" xfId="18" applyNumberFormat="1" applyFont="1" applyFill="1" applyBorder="1" applyAlignment="1">
      <alignment horizontal="center" vertical="center" wrapText="1"/>
      <protection/>
    </xf>
    <xf numFmtId="173" fontId="29" fillId="0" borderId="1" xfId="18" applyNumberFormat="1" applyFont="1" applyFill="1" applyBorder="1" applyAlignment="1">
      <alignment horizontal="center" vertical="center" wrapText="1"/>
      <protection/>
    </xf>
    <xf numFmtId="173" fontId="29" fillId="0" borderId="2" xfId="18" applyNumberFormat="1" applyFont="1" applyFill="1" applyBorder="1" applyAlignment="1">
      <alignment horizontal="center" vertical="center" wrapText="1"/>
      <protection/>
    </xf>
    <xf numFmtId="173" fontId="29" fillId="0" borderId="13" xfId="18" applyNumberFormat="1" applyFont="1" applyFill="1" applyBorder="1" applyAlignment="1">
      <alignment horizontal="center" vertical="center" wrapText="1"/>
      <protection/>
    </xf>
    <xf numFmtId="173" fontId="29" fillId="0" borderId="11" xfId="18" applyNumberFormat="1" applyFont="1" applyFill="1" applyBorder="1" applyAlignment="1">
      <alignment horizontal="center" vertical="center" wrapText="1"/>
      <protection/>
    </xf>
    <xf numFmtId="2" fontId="29" fillId="0" borderId="1" xfId="18" applyNumberFormat="1" applyFont="1" applyFill="1" applyBorder="1" applyAlignment="1">
      <alignment horizontal="center" vertical="center" wrapText="1"/>
      <protection/>
    </xf>
    <xf numFmtId="173" fontId="30" fillId="0" borderId="10" xfId="18" applyNumberFormat="1" applyFont="1" applyFill="1" applyBorder="1" applyAlignment="1">
      <alignment horizontal="center" vertical="center" wrapText="1"/>
      <protection/>
    </xf>
    <xf numFmtId="173" fontId="30" fillId="0" borderId="1" xfId="18" applyNumberFormat="1" applyFont="1" applyFill="1" applyBorder="1" applyAlignment="1">
      <alignment horizontal="center" vertical="center" wrapText="1"/>
      <protection/>
    </xf>
    <xf numFmtId="173" fontId="30" fillId="0" borderId="2" xfId="18" applyNumberFormat="1" applyFont="1" applyFill="1" applyBorder="1" applyAlignment="1">
      <alignment horizontal="center" vertical="center" wrapText="1"/>
      <protection/>
    </xf>
    <xf numFmtId="173" fontId="29" fillId="0" borderId="13" xfId="18" applyNumberFormat="1" applyFont="1" applyFill="1" applyBorder="1" applyAlignment="1">
      <alignment horizontal="center" vertical="center" wrapText="1"/>
      <protection/>
    </xf>
    <xf numFmtId="173" fontId="29" fillId="0" borderId="2" xfId="18" applyNumberFormat="1" applyFont="1" applyFill="1" applyBorder="1" applyAlignment="1">
      <alignment horizontal="center" vertical="center" wrapText="1"/>
      <protection/>
    </xf>
    <xf numFmtId="173" fontId="29" fillId="0" borderId="11" xfId="18" applyNumberFormat="1" applyFont="1" applyFill="1" applyBorder="1" applyAlignment="1">
      <alignment horizontal="center" vertical="center" wrapText="1"/>
      <protection/>
    </xf>
    <xf numFmtId="173" fontId="29" fillId="0" borderId="1" xfId="18" applyNumberFormat="1" applyFont="1" applyFill="1" applyBorder="1" applyAlignment="1">
      <alignment horizontal="center" vertical="center" wrapText="1"/>
      <protection/>
    </xf>
    <xf numFmtId="2" fontId="29" fillId="0" borderId="1" xfId="18" applyNumberFormat="1" applyFont="1" applyFill="1" applyBorder="1" applyAlignment="1">
      <alignment horizontal="center" vertical="center" wrapText="1"/>
      <protection/>
    </xf>
    <xf numFmtId="173" fontId="29" fillId="2" borderId="13" xfId="18" applyNumberFormat="1" applyFont="1" applyFill="1" applyBorder="1" applyAlignment="1">
      <alignment horizontal="center" vertical="center" wrapText="1"/>
      <protection/>
    </xf>
    <xf numFmtId="173" fontId="29" fillId="2" borderId="2" xfId="18" applyNumberFormat="1" applyFont="1" applyFill="1" applyBorder="1" applyAlignment="1">
      <alignment horizontal="center" vertical="center" wrapText="1"/>
      <protection/>
    </xf>
    <xf numFmtId="173" fontId="29" fillId="2" borderId="1" xfId="18" applyNumberFormat="1" applyFont="1" applyFill="1" applyBorder="1" applyAlignment="1">
      <alignment horizontal="center" vertical="center" wrapText="1"/>
      <protection/>
    </xf>
    <xf numFmtId="2" fontId="29" fillId="2" borderId="1" xfId="18" applyNumberFormat="1" applyFont="1" applyFill="1" applyBorder="1" applyAlignment="1">
      <alignment horizontal="center" vertical="center" wrapText="1"/>
      <protection/>
    </xf>
    <xf numFmtId="173" fontId="29" fillId="2" borderId="11" xfId="18" applyNumberFormat="1" applyFont="1" applyFill="1" applyBorder="1" applyAlignment="1">
      <alignment horizontal="center" vertical="center" wrapText="1"/>
      <protection/>
    </xf>
    <xf numFmtId="173" fontId="29" fillId="2" borderId="10" xfId="18" applyNumberFormat="1" applyFont="1" applyFill="1" applyBorder="1" applyAlignment="1">
      <alignment horizontal="center" vertical="center" wrapText="1"/>
      <protection/>
    </xf>
    <xf numFmtId="173" fontId="30" fillId="0" borderId="17" xfId="18" applyNumberFormat="1" applyFont="1" applyFill="1" applyBorder="1" applyAlignment="1">
      <alignment horizontal="center" vertical="center" wrapText="1"/>
      <protection/>
    </xf>
    <xf numFmtId="173" fontId="30" fillId="0" borderId="3" xfId="18" applyNumberFormat="1" applyFont="1" applyFill="1" applyBorder="1" applyAlignment="1">
      <alignment horizontal="center" vertical="center" wrapText="1"/>
      <protection/>
    </xf>
    <xf numFmtId="173" fontId="30" fillId="0" borderId="8" xfId="18" applyNumberFormat="1" applyFont="1" applyFill="1" applyBorder="1" applyAlignment="1">
      <alignment horizontal="center" vertical="center" wrapText="1"/>
      <protection/>
    </xf>
    <xf numFmtId="173" fontId="29" fillId="0" borderId="14" xfId="18" applyNumberFormat="1" applyFont="1" applyFill="1" applyBorder="1" applyAlignment="1">
      <alignment horizontal="center" vertical="center" wrapText="1"/>
      <protection/>
    </xf>
    <xf numFmtId="173" fontId="29" fillId="0" borderId="8" xfId="18" applyNumberFormat="1" applyFont="1" applyFill="1" applyBorder="1" applyAlignment="1">
      <alignment horizontal="center" vertical="center" wrapText="1"/>
      <protection/>
    </xf>
    <xf numFmtId="173" fontId="29" fillId="2" borderId="12" xfId="18" applyNumberFormat="1" applyFont="1" applyFill="1" applyBorder="1" applyAlignment="1">
      <alignment horizontal="center" vertical="center" wrapText="1"/>
      <protection/>
    </xf>
    <xf numFmtId="173" fontId="29" fillId="2" borderId="3" xfId="18" applyNumberFormat="1" applyFont="1" applyFill="1" applyBorder="1" applyAlignment="1">
      <alignment horizontal="center" vertical="center" wrapText="1"/>
      <protection/>
    </xf>
    <xf numFmtId="173" fontId="29" fillId="2" borderId="8" xfId="18" applyNumberFormat="1" applyFont="1" applyFill="1" applyBorder="1" applyAlignment="1">
      <alignment horizontal="center" vertical="center" wrapText="1"/>
      <protection/>
    </xf>
    <xf numFmtId="2" fontId="29" fillId="2" borderId="3" xfId="18" applyNumberFormat="1" applyFont="1" applyFill="1" applyBorder="1" applyAlignment="1">
      <alignment horizontal="center" vertical="center" wrapText="1"/>
      <protection/>
    </xf>
    <xf numFmtId="0" fontId="29" fillId="0" borderId="5" xfId="18" applyFont="1" applyFill="1" applyBorder="1" applyAlignment="1">
      <alignment horizontal="right" vertical="top" wrapText="1"/>
      <protection/>
    </xf>
    <xf numFmtId="0" fontId="29" fillId="0" borderId="15" xfId="18" applyFont="1" applyFill="1" applyBorder="1" applyAlignment="1">
      <alignment horizontal="left" wrapText="1"/>
      <protection/>
    </xf>
    <xf numFmtId="0" fontId="29" fillId="0" borderId="1" xfId="18" applyFont="1" applyFill="1" applyBorder="1" applyAlignment="1">
      <alignment horizontal="center" wrapText="1"/>
      <protection/>
    </xf>
    <xf numFmtId="0" fontId="29" fillId="0" borderId="1" xfId="18" applyFont="1" applyFill="1" applyBorder="1" applyAlignment="1">
      <alignment horizontal="center" vertical="center" wrapText="1"/>
      <protection/>
    </xf>
    <xf numFmtId="0" fontId="29" fillId="0" borderId="2" xfId="18" applyFont="1" applyFill="1" applyBorder="1" applyAlignment="1">
      <alignment horizontal="center" vertical="center" wrapText="1"/>
      <protection/>
    </xf>
    <xf numFmtId="0" fontId="29" fillId="2" borderId="1" xfId="18" applyFont="1" applyFill="1" applyBorder="1" applyAlignment="1">
      <alignment horizontal="center" vertical="center" wrapText="1"/>
      <protection/>
    </xf>
    <xf numFmtId="0" fontId="29" fillId="2" borderId="2" xfId="18" applyFont="1" applyFill="1" applyBorder="1" applyAlignment="1">
      <alignment horizontal="center" vertical="center" wrapText="1"/>
      <protection/>
    </xf>
    <xf numFmtId="0" fontId="29" fillId="0" borderId="6" xfId="18" applyFont="1" applyFill="1" applyBorder="1" applyAlignment="1">
      <alignment horizontal="center" wrapText="1"/>
      <protection/>
    </xf>
    <xf numFmtId="0" fontId="29" fillId="0" borderId="11" xfId="18" applyFont="1" applyFill="1" applyBorder="1" applyAlignment="1">
      <alignment horizontal="center" wrapText="1"/>
      <protection/>
    </xf>
    <xf numFmtId="0" fontId="29" fillId="0" borderId="2" xfId="18" applyFont="1" applyFill="1" applyBorder="1" applyAlignment="1">
      <alignment horizontal="center" wrapText="1"/>
      <protection/>
    </xf>
    <xf numFmtId="0" fontId="29" fillId="2" borderId="10" xfId="18" applyFont="1" applyFill="1" applyBorder="1" applyAlignment="1">
      <alignment horizontal="center" wrapText="1"/>
      <protection/>
    </xf>
    <xf numFmtId="0" fontId="29" fillId="2" borderId="1" xfId="18" applyFont="1" applyFill="1" applyBorder="1" applyAlignment="1">
      <alignment horizontal="center" wrapText="1"/>
      <protection/>
    </xf>
    <xf numFmtId="0" fontId="29" fillId="2" borderId="2" xfId="18" applyFont="1" applyFill="1" applyBorder="1" applyAlignment="1">
      <alignment horizontal="center" wrapText="1"/>
      <protection/>
    </xf>
    <xf numFmtId="0" fontId="29" fillId="0" borderId="10" xfId="18" applyFont="1" applyFill="1" applyBorder="1" applyAlignment="1">
      <alignment horizontal="center" wrapText="1"/>
      <protection/>
    </xf>
    <xf numFmtId="0" fontId="29" fillId="0" borderId="6" xfId="18" applyFont="1" applyFill="1" applyBorder="1" applyAlignment="1">
      <alignment horizontal="left" vertical="center" wrapText="1"/>
      <protection/>
    </xf>
    <xf numFmtId="2" fontId="29" fillId="0" borderId="2" xfId="18" applyNumberFormat="1" applyFont="1" applyFill="1" applyBorder="1" applyAlignment="1">
      <alignment horizontal="center" vertical="center" wrapText="1"/>
      <protection/>
    </xf>
    <xf numFmtId="2" fontId="29" fillId="2" borderId="2" xfId="18" applyNumberFormat="1" applyFont="1" applyFill="1" applyBorder="1" applyAlignment="1">
      <alignment horizontal="center" vertical="center" wrapText="1"/>
      <protection/>
    </xf>
    <xf numFmtId="2" fontId="29" fillId="2" borderId="11" xfId="18" applyNumberFormat="1" applyFont="1" applyFill="1" applyBorder="1" applyAlignment="1">
      <alignment horizontal="center" vertical="center" wrapText="1"/>
      <protection/>
    </xf>
    <xf numFmtId="0" fontId="29" fillId="0" borderId="7" xfId="18" applyFont="1" applyFill="1" applyBorder="1" applyAlignment="1">
      <alignment horizontal="left" vertical="center" wrapText="1"/>
      <protection/>
    </xf>
    <xf numFmtId="2" fontId="29" fillId="2" borderId="8" xfId="18" applyNumberFormat="1" applyFont="1" applyFill="1" applyBorder="1" applyAlignment="1">
      <alignment horizontal="center" vertical="center" wrapText="1"/>
      <protection/>
    </xf>
    <xf numFmtId="2" fontId="29" fillId="2" borderId="12" xfId="18" applyNumberFormat="1" applyFont="1" applyFill="1" applyBorder="1" applyAlignment="1">
      <alignment horizontal="center" vertical="center" wrapText="1"/>
      <protection/>
    </xf>
    <xf numFmtId="0" fontId="26" fillId="0" borderId="0" xfId="18" applyFont="1">
      <alignment/>
      <protection/>
    </xf>
    <xf numFmtId="0" fontId="26" fillId="0" borderId="0" xfId="18" applyFont="1" applyFill="1">
      <alignment/>
      <protection/>
    </xf>
    <xf numFmtId="0" fontId="2" fillId="0" borderId="0" xfId="18" applyFont="1" applyFill="1" applyBorder="1" applyAlignment="1">
      <alignment/>
      <protection/>
    </xf>
    <xf numFmtId="0" fontId="2" fillId="0" borderId="0" xfId="18" applyFont="1" applyFill="1" applyBorder="1" applyAlignment="1">
      <alignment horizontal="center" vertical="center" wrapText="1"/>
      <protection/>
    </xf>
    <xf numFmtId="0" fontId="2" fillId="0" borderId="0" xfId="18" applyFont="1" applyFill="1" applyBorder="1" applyAlignment="1">
      <alignment wrapText="1"/>
      <protection/>
    </xf>
    <xf numFmtId="0" fontId="2" fillId="0" borderId="0" xfId="18" applyFont="1" applyAlignment="1">
      <alignment horizontal="right"/>
      <protection/>
    </xf>
    <xf numFmtId="0" fontId="2" fillId="0" borderId="18" xfId="18" applyFont="1" applyFill="1" applyBorder="1" applyAlignment="1">
      <alignment horizontal="center" vertical="top" wrapText="1"/>
      <protection/>
    </xf>
    <xf numFmtId="0" fontId="0" fillId="0" borderId="0" xfId="18" applyFont="1" applyFill="1" applyAlignment="1">
      <alignment horizontal="left" wrapText="1"/>
      <protection/>
    </xf>
    <xf numFmtId="0" fontId="2" fillId="0" borderId="15" xfId="18" applyFont="1" applyFill="1" applyBorder="1" applyAlignment="1">
      <alignment horizontal="left" wrapText="1"/>
      <protection/>
    </xf>
    <xf numFmtId="0" fontId="2" fillId="0" borderId="6" xfId="18" applyFont="1" applyFill="1" applyBorder="1" applyAlignment="1">
      <alignment horizontal="left" wrapText="1"/>
      <protection/>
    </xf>
    <xf numFmtId="0" fontId="2" fillId="0" borderId="4" xfId="18" applyFont="1" applyFill="1" applyBorder="1" applyAlignment="1">
      <alignment horizontal="center" vertical="top" wrapText="1"/>
      <protection/>
    </xf>
    <xf numFmtId="0" fontId="2" fillId="0" borderId="19" xfId="18" applyFont="1" applyFill="1" applyBorder="1" applyAlignment="1">
      <alignment horizontal="center" vertical="top" wrapText="1"/>
      <protection/>
    </xf>
    <xf numFmtId="0" fontId="1" fillId="0" borderId="4" xfId="18" applyFont="1" applyFill="1" applyBorder="1" applyAlignment="1">
      <alignment horizontal="center" vertical="center" wrapText="1"/>
      <protection/>
    </xf>
    <xf numFmtId="0" fontId="1" fillId="0" borderId="19" xfId="18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" fillId="0" borderId="20" xfId="18" applyFont="1" applyFill="1" applyBorder="1" applyAlignment="1">
      <alignment horizontal="center" vertical="center" wrapText="1"/>
      <protection/>
    </xf>
    <xf numFmtId="0" fontId="1" fillId="0" borderId="21" xfId="1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" fillId="0" borderId="0" xfId="18" applyFont="1" applyFill="1" applyAlignment="1">
      <alignment horizontal="center" vertical="center" wrapText="1"/>
      <protection/>
    </xf>
    <xf numFmtId="0" fontId="0" fillId="2" borderId="4" xfId="18" applyFont="1" applyFill="1" applyBorder="1" applyAlignment="1">
      <alignment horizontal="center" vertical="center" wrapText="1"/>
      <protection/>
    </xf>
    <xf numFmtId="0" fontId="0" fillId="2" borderId="19" xfId="18" applyFont="1" applyFill="1" applyBorder="1" applyAlignment="1">
      <alignment horizontal="center" vertical="center" wrapText="1"/>
      <protection/>
    </xf>
    <xf numFmtId="0" fontId="0" fillId="2" borderId="18" xfId="18" applyFont="1" applyFill="1" applyBorder="1" applyAlignment="1">
      <alignment horizontal="center" vertical="center" wrapText="1"/>
      <protection/>
    </xf>
    <xf numFmtId="0" fontId="0" fillId="2" borderId="20" xfId="18" applyFont="1" applyFill="1" applyBorder="1" applyAlignment="1">
      <alignment horizontal="center" vertical="center" wrapText="1"/>
      <protection/>
    </xf>
    <xf numFmtId="0" fontId="0" fillId="2" borderId="21" xfId="18" applyFont="1" applyFill="1" applyBorder="1" applyAlignment="1">
      <alignment horizontal="center" vertical="center" wrapText="1"/>
      <protection/>
    </xf>
    <xf numFmtId="0" fontId="0" fillId="2" borderId="22" xfId="18" applyFont="1" applyFill="1" applyBorder="1" applyAlignment="1">
      <alignment horizontal="center" vertical="center" wrapText="1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0" fontId="0" fillId="0" borderId="19" xfId="18" applyFont="1" applyFill="1" applyBorder="1" applyAlignment="1">
      <alignment horizontal="center" vertical="center" wrapText="1"/>
      <protection/>
    </xf>
    <xf numFmtId="0" fontId="0" fillId="0" borderId="18" xfId="18" applyFont="1" applyFill="1" applyBorder="1" applyAlignment="1">
      <alignment horizontal="center" vertical="center" wrapText="1"/>
      <protection/>
    </xf>
    <xf numFmtId="0" fontId="0" fillId="0" borderId="21" xfId="18" applyFont="1" applyFill="1" applyBorder="1" applyAlignment="1">
      <alignment horizontal="center" vertical="center" wrapText="1"/>
      <protection/>
    </xf>
    <xf numFmtId="0" fontId="0" fillId="0" borderId="22" xfId="18" applyFont="1" applyFill="1" applyBorder="1" applyAlignment="1">
      <alignment horizontal="center" vertical="center" wrapText="1"/>
      <protection/>
    </xf>
    <xf numFmtId="0" fontId="0" fillId="0" borderId="23" xfId="18" applyFont="1" applyFill="1" applyBorder="1" applyAlignment="1">
      <alignment horizontal="center" vertical="center" wrapText="1"/>
      <protection/>
    </xf>
    <xf numFmtId="0" fontId="0" fillId="0" borderId="24" xfId="18" applyFont="1" applyFill="1" applyBorder="1" applyAlignment="1">
      <alignment horizontal="center" vertical="center" wrapText="1"/>
      <protection/>
    </xf>
    <xf numFmtId="0" fontId="0" fillId="0" borderId="25" xfId="18" applyFont="1" applyFill="1" applyBorder="1" applyAlignment="1">
      <alignment horizontal="center" vertical="center" wrapText="1"/>
      <protection/>
    </xf>
    <xf numFmtId="0" fontId="0" fillId="0" borderId="10" xfId="18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2" xfId="18" applyFont="1" applyFill="1" applyBorder="1" applyAlignment="1">
      <alignment horizontal="center" vertical="center" wrapText="1"/>
      <protection/>
    </xf>
    <xf numFmtId="0" fontId="1" fillId="0" borderId="26" xfId="18" applyFont="1" applyFill="1" applyBorder="1" applyAlignment="1">
      <alignment horizontal="center" vertical="center"/>
      <protection/>
    </xf>
    <xf numFmtId="0" fontId="1" fillId="0" borderId="24" xfId="18" applyFont="1" applyFill="1" applyBorder="1" applyAlignment="1">
      <alignment horizontal="center" vertical="center"/>
      <protection/>
    </xf>
    <xf numFmtId="0" fontId="1" fillId="0" borderId="25" xfId="18" applyFont="1" applyFill="1" applyBorder="1" applyAlignment="1">
      <alignment horizontal="center" vertical="center"/>
      <protection/>
    </xf>
    <xf numFmtId="0" fontId="1" fillId="0" borderId="11" xfId="18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/>
      <protection/>
    </xf>
    <xf numFmtId="0" fontId="1" fillId="0" borderId="2" xfId="18" applyFont="1" applyFill="1" applyBorder="1" applyAlignment="1">
      <alignment horizontal="center" vertical="center"/>
      <protection/>
    </xf>
    <xf numFmtId="0" fontId="0" fillId="0" borderId="15" xfId="18" applyFont="1" applyFill="1" applyBorder="1" applyAlignment="1">
      <alignment horizontal="left" wrapText="1"/>
      <protection/>
    </xf>
    <xf numFmtId="0" fontId="0" fillId="0" borderId="6" xfId="18" applyFont="1" applyFill="1" applyBorder="1" applyAlignment="1">
      <alignment horizontal="left" wrapText="1"/>
      <protection/>
    </xf>
    <xf numFmtId="0" fontId="0" fillId="0" borderId="27" xfId="18" applyFont="1" applyFill="1" applyBorder="1" applyAlignment="1">
      <alignment horizontal="left" wrapText="1"/>
      <protection/>
    </xf>
    <xf numFmtId="0" fontId="0" fillId="2" borderId="26" xfId="18" applyFont="1" applyFill="1" applyBorder="1" applyAlignment="1">
      <alignment horizontal="center" vertical="center" wrapText="1"/>
      <protection/>
    </xf>
    <xf numFmtId="0" fontId="0" fillId="2" borderId="24" xfId="18" applyFont="1" applyFill="1" applyBorder="1" applyAlignment="1">
      <alignment horizontal="center" vertical="center" wrapText="1"/>
      <protection/>
    </xf>
    <xf numFmtId="0" fontId="0" fillId="2" borderId="25" xfId="18" applyFont="1" applyFill="1" applyBorder="1" applyAlignment="1">
      <alignment horizontal="center" vertical="center" wrapText="1"/>
      <protection/>
    </xf>
    <xf numFmtId="0" fontId="0" fillId="2" borderId="11" xfId="18" applyFont="1" applyFill="1" applyBorder="1" applyAlignment="1">
      <alignment horizontal="center" vertical="center" wrapText="1"/>
      <protection/>
    </xf>
    <xf numFmtId="0" fontId="0" fillId="2" borderId="1" xfId="18" applyFont="1" applyFill="1" applyBorder="1" applyAlignment="1">
      <alignment horizontal="center" vertical="center" wrapText="1"/>
      <protection/>
    </xf>
    <xf numFmtId="0" fontId="0" fillId="2" borderId="2" xfId="18" applyFont="1" applyFill="1" applyBorder="1" applyAlignment="1">
      <alignment horizontal="center" vertical="center" wrapText="1"/>
      <protection/>
    </xf>
    <xf numFmtId="0" fontId="0" fillId="0" borderId="4" xfId="18" applyFont="1" applyFill="1" applyBorder="1" applyAlignment="1">
      <alignment horizontal="center" vertical="center" wrapText="1"/>
      <protection/>
    </xf>
    <xf numFmtId="0" fontId="0" fillId="0" borderId="20" xfId="18" applyFont="1" applyFill="1" applyBorder="1" applyAlignment="1">
      <alignment horizontal="center" vertical="center" wrapText="1"/>
      <protection/>
    </xf>
    <xf numFmtId="0" fontId="2" fillId="0" borderId="20" xfId="18" applyFont="1" applyFill="1" applyBorder="1" applyAlignment="1">
      <alignment horizontal="center" vertical="top" wrapText="1"/>
      <protection/>
    </xf>
    <xf numFmtId="0" fontId="2" fillId="0" borderId="21" xfId="18" applyFont="1" applyFill="1" applyBorder="1" applyAlignment="1">
      <alignment horizontal="center" vertical="top" wrapText="1"/>
      <protection/>
    </xf>
    <xf numFmtId="0" fontId="2" fillId="0" borderId="22" xfId="18" applyFont="1" applyFill="1" applyBorder="1" applyAlignment="1">
      <alignment horizontal="center" vertical="top" wrapText="1"/>
      <protection/>
    </xf>
    <xf numFmtId="49" fontId="26" fillId="0" borderId="19" xfId="18" applyNumberFormat="1" applyFont="1" applyFill="1" applyBorder="1" applyAlignment="1">
      <alignment horizontal="center" vertical="center" wrapText="1"/>
      <protection/>
    </xf>
    <xf numFmtId="49" fontId="26" fillId="0" borderId="18" xfId="18" applyNumberFormat="1" applyFont="1" applyFill="1" applyBorder="1" applyAlignment="1">
      <alignment horizontal="center" vertical="center" wrapText="1"/>
      <protection/>
    </xf>
    <xf numFmtId="49" fontId="26" fillId="0" borderId="0" xfId="18" applyNumberFormat="1" applyFont="1" applyFill="1" applyBorder="1" applyAlignment="1">
      <alignment horizontal="center" vertical="center" wrapText="1"/>
      <protection/>
    </xf>
    <xf numFmtId="49" fontId="26" fillId="0" borderId="28" xfId="18" applyNumberFormat="1" applyFont="1" applyFill="1" applyBorder="1" applyAlignment="1">
      <alignment horizontal="center" vertical="center" wrapText="1"/>
      <protection/>
    </xf>
    <xf numFmtId="49" fontId="26" fillId="0" borderId="4" xfId="18" applyNumberFormat="1" applyFont="1" applyFill="1" applyBorder="1" applyAlignment="1">
      <alignment horizontal="center" vertical="center" wrapText="1"/>
      <protection/>
    </xf>
    <xf numFmtId="49" fontId="26" fillId="0" borderId="16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Fill="1" applyBorder="1" applyAlignment="1">
      <alignment horizontal="center" wrapText="1"/>
      <protection/>
    </xf>
    <xf numFmtId="0" fontId="29" fillId="0" borderId="29" xfId="18" applyFont="1" applyFill="1" applyBorder="1" applyAlignment="1">
      <alignment horizontal="center" vertical="center" wrapText="1"/>
      <protection/>
    </xf>
    <xf numFmtId="0" fontId="29" fillId="0" borderId="30" xfId="18" applyFont="1" applyFill="1" applyBorder="1" applyAlignment="1">
      <alignment horizontal="center" vertical="center" wrapText="1"/>
      <protection/>
    </xf>
    <xf numFmtId="0" fontId="29" fillId="2" borderId="31" xfId="18" applyFont="1" applyFill="1" applyBorder="1" applyAlignment="1">
      <alignment horizontal="center" vertical="center" wrapText="1"/>
      <protection/>
    </xf>
    <xf numFmtId="0" fontId="29" fillId="2" borderId="29" xfId="18" applyFont="1" applyFill="1" applyBorder="1" applyAlignment="1">
      <alignment horizontal="center" vertical="center" wrapText="1"/>
      <protection/>
    </xf>
    <xf numFmtId="0" fontId="29" fillId="2" borderId="30" xfId="18" applyFont="1" applyFill="1" applyBorder="1" applyAlignment="1">
      <alignment horizontal="center" vertical="center" wrapText="1"/>
      <protection/>
    </xf>
    <xf numFmtId="0" fontId="29" fillId="0" borderId="31" xfId="18" applyFont="1" applyFill="1" applyBorder="1" applyAlignment="1">
      <alignment horizontal="center" vertical="center" wrapText="1"/>
      <protection/>
    </xf>
    <xf numFmtId="0" fontId="0" fillId="2" borderId="31" xfId="18" applyFont="1" applyFill="1" applyBorder="1" applyAlignment="1">
      <alignment horizontal="center" vertical="center" wrapText="1"/>
      <protection/>
    </xf>
    <xf numFmtId="0" fontId="0" fillId="2" borderId="29" xfId="18" applyFont="1" applyFill="1" applyBorder="1" applyAlignment="1">
      <alignment horizontal="center" vertical="center" wrapText="1"/>
      <protection/>
    </xf>
    <xf numFmtId="0" fontId="0" fillId="2" borderId="30" xfId="18" applyFont="1" applyFill="1" applyBorder="1" applyAlignment="1">
      <alignment horizontal="center" vertical="center" wrapText="1"/>
      <protection/>
    </xf>
    <xf numFmtId="0" fontId="3" fillId="0" borderId="0" xfId="18" applyFont="1" applyFill="1" applyBorder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173" fontId="29" fillId="0" borderId="1" xfId="18" applyNumberFormat="1" applyFont="1" applyFill="1" applyBorder="1" applyAlignment="1">
      <alignment horizontal="center" vertical="center" wrapText="1"/>
      <protection/>
    </xf>
    <xf numFmtId="2" fontId="29" fillId="2" borderId="1" xfId="18" applyNumberFormat="1" applyFont="1" applyFill="1" applyBorder="1" applyAlignment="1">
      <alignment horizontal="center" vertical="center" wrapText="1"/>
      <protection/>
    </xf>
    <xf numFmtId="0" fontId="29" fillId="2" borderId="1" xfId="18" applyFont="1" applyFill="1" applyBorder="1" applyAlignment="1">
      <alignment horizontal="center" vertical="center" wrapText="1"/>
      <protection/>
    </xf>
    <xf numFmtId="173" fontId="29" fillId="2" borderId="1" xfId="18" applyNumberFormat="1" applyFont="1" applyFill="1" applyBorder="1" applyAlignment="1">
      <alignment horizontal="center" vertical="center" wrapText="1"/>
      <protection/>
    </xf>
    <xf numFmtId="0" fontId="29" fillId="0" borderId="1" xfId="18" applyFont="1" applyFill="1" applyBorder="1" applyAlignment="1">
      <alignment horizontal="center" vertical="center" wrapText="1"/>
      <protection/>
    </xf>
    <xf numFmtId="2" fontId="29" fillId="0" borderId="1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Alignment="1">
      <alignment horizontal="center" vertical="top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таблиц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размеров платы на содержание и текущий ремонт жилищного фонда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8875"/>
          <c:w val="0.977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Диаграмы!$A$10</c:f>
              <c:strCache>
                <c:ptCount val="1"/>
                <c:pt idx="0">
                  <c:v>Размер платы для населения с НДС руб. за кв.м.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Диаграмы!$A$1:$A$8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Диаграмы!$B$1:$B$8</c:f>
              <c:numCache>
                <c:ptCount val="8"/>
                <c:pt idx="0">
                  <c:v>13.05</c:v>
                </c:pt>
                <c:pt idx="1">
                  <c:v>18.79</c:v>
                </c:pt>
                <c:pt idx="2">
                  <c:v>19.18</c:v>
                </c:pt>
                <c:pt idx="3">
                  <c:v>19.59</c:v>
                </c:pt>
                <c:pt idx="4">
                  <c:v>20.65</c:v>
                </c:pt>
                <c:pt idx="5">
                  <c:v>14.33</c:v>
                </c:pt>
                <c:pt idx="6">
                  <c:v>14.42</c:v>
                </c:pt>
                <c:pt idx="7">
                  <c:v>19.22</c:v>
                </c:pt>
              </c:numCache>
            </c:numRef>
          </c:val>
        </c:ser>
        <c:ser>
          <c:idx val="1"/>
          <c:order val="1"/>
          <c:tx>
            <c:strRef>
              <c:f>Диаграмы!$A$11</c:f>
              <c:strCache>
                <c:ptCount val="1"/>
                <c:pt idx="0">
                  <c:v>Размер платы для населения с НДС руб. за кв.м.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Диаграмы!$A$1:$A$8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Диаграмы!$C$1:$C$8</c:f>
              <c:numCache>
                <c:ptCount val="8"/>
                <c:pt idx="0">
                  <c:v>15.72</c:v>
                </c:pt>
                <c:pt idx="1">
                  <c:v>18.79</c:v>
                </c:pt>
                <c:pt idx="2">
                  <c:v>19.18</c:v>
                </c:pt>
                <c:pt idx="3">
                  <c:v>19.59</c:v>
                </c:pt>
                <c:pt idx="4">
                  <c:v>20.65</c:v>
                </c:pt>
                <c:pt idx="5">
                  <c:v>14.33</c:v>
                </c:pt>
                <c:pt idx="6">
                  <c:v>14.42</c:v>
                </c:pt>
                <c:pt idx="7">
                  <c:v>19.22</c:v>
                </c:pt>
              </c:numCache>
            </c:numRef>
          </c:val>
        </c:ser>
        <c:axId val="65387423"/>
        <c:axId val="51615896"/>
      </c:bar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87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5"/>
          <c:y val="0.89175"/>
          <c:w val="0.9235"/>
          <c:h val="0.10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водоснабжение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95"/>
          <c:w val="0.977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Диаграмы!$AQ$138</c:f>
              <c:strCache>
                <c:ptCount val="1"/>
                <c:pt idx="0">
                  <c:v>Плата для населения с НДС руб. с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Диаграмы!$AQ$129:$AQ$136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Диаграмы!$AR$129:$AR$136</c:f>
              <c:numCache>
                <c:ptCount val="8"/>
                <c:pt idx="0">
                  <c:v>132.12</c:v>
                </c:pt>
                <c:pt idx="1">
                  <c:v>113.85</c:v>
                </c:pt>
                <c:pt idx="2">
                  <c:v>65.84</c:v>
                </c:pt>
                <c:pt idx="3">
                  <c:v>203.53</c:v>
                </c:pt>
                <c:pt idx="4">
                  <c:v>121.57</c:v>
                </c:pt>
                <c:pt idx="5">
                  <c:v>119.04</c:v>
                </c:pt>
                <c:pt idx="6">
                  <c:v>63.23</c:v>
                </c:pt>
                <c:pt idx="7">
                  <c:v>97.1</c:v>
                </c:pt>
              </c:numCache>
            </c:numRef>
          </c:val>
        </c:ser>
        <c:ser>
          <c:idx val="1"/>
          <c:order val="1"/>
          <c:tx>
            <c:strRef>
              <c:f>Диаграмы!$AQ$139</c:f>
              <c:strCache>
                <c:ptCount val="1"/>
                <c:pt idx="0">
                  <c:v>Плата для населения с НДС руб. с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Диаграмы!$AQ$129:$AQ$136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Диаграмы!$AS$129:$AS$136</c:f>
              <c:numCache>
                <c:ptCount val="8"/>
                <c:pt idx="0">
                  <c:v>132.12</c:v>
                </c:pt>
                <c:pt idx="1">
                  <c:v>113.85</c:v>
                </c:pt>
                <c:pt idx="2">
                  <c:v>65.84</c:v>
                </c:pt>
                <c:pt idx="3">
                  <c:v>203.53</c:v>
                </c:pt>
                <c:pt idx="4">
                  <c:v>121.57</c:v>
                </c:pt>
                <c:pt idx="5">
                  <c:v>119.04</c:v>
                </c:pt>
                <c:pt idx="6">
                  <c:v>63.23</c:v>
                </c:pt>
                <c:pt idx="7">
                  <c:v>97.1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85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81925"/>
          <c:w val="0.8985"/>
          <c:h val="0.10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водоотведение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575"/>
          <c:w val="0.977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Диаграмы!$AQ$170</c:f>
              <c:strCache>
                <c:ptCount val="1"/>
                <c:pt idx="0">
                  <c:v>Плата для населения с НДС руб. с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Диаграмы!$AQ$161:$AQ$168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Диаграмы!$AR$161:$AR$168</c:f>
              <c:numCache>
                <c:ptCount val="8"/>
                <c:pt idx="0">
                  <c:v>151.2</c:v>
                </c:pt>
                <c:pt idx="1">
                  <c:v>110.11</c:v>
                </c:pt>
                <c:pt idx="2">
                  <c:v>99.04</c:v>
                </c:pt>
                <c:pt idx="3">
                  <c:v>263.67</c:v>
                </c:pt>
                <c:pt idx="4">
                  <c:v>180.76</c:v>
                </c:pt>
                <c:pt idx="5">
                  <c:v>105.8</c:v>
                </c:pt>
                <c:pt idx="6">
                  <c:v>136.69</c:v>
                </c:pt>
                <c:pt idx="7">
                  <c:v>101.6</c:v>
                </c:pt>
              </c:numCache>
            </c:numRef>
          </c:val>
        </c:ser>
        <c:ser>
          <c:idx val="1"/>
          <c:order val="1"/>
          <c:tx>
            <c:strRef>
              <c:f>Диаграмы!$AQ$171</c:f>
              <c:strCache>
                <c:ptCount val="1"/>
                <c:pt idx="0">
                  <c:v>Плата для населения с НДС руб. с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Диаграмы!$AQ$161:$AQ$168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Диаграмы!$AS$161:$AS$168</c:f>
              <c:numCache>
                <c:ptCount val="8"/>
                <c:pt idx="0">
                  <c:v>151.2</c:v>
                </c:pt>
                <c:pt idx="1">
                  <c:v>110.11</c:v>
                </c:pt>
                <c:pt idx="2">
                  <c:v>99.04</c:v>
                </c:pt>
                <c:pt idx="3">
                  <c:v>263.67</c:v>
                </c:pt>
                <c:pt idx="4">
                  <c:v>180.76</c:v>
                </c:pt>
                <c:pt idx="5">
                  <c:v>105.8</c:v>
                </c:pt>
                <c:pt idx="6">
                  <c:v>136.69</c:v>
                </c:pt>
                <c:pt idx="7">
                  <c:v>101.6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325"/>
          <c:y val="0.92525"/>
          <c:w val="0.92225"/>
          <c:h val="0.07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горячее водоснабжение 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85"/>
          <c:w val="0.977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Диаграмы!$AQ$202</c:f>
              <c:strCache>
                <c:ptCount val="1"/>
                <c:pt idx="0">
                  <c:v>Плата для населения с НДС руб. с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Диаграмы!$AQ$193:$AQ$200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Диаграмы!$AR$193:$AR$200</c:f>
              <c:numCache>
                <c:ptCount val="8"/>
                <c:pt idx="0">
                  <c:v>164.16</c:v>
                </c:pt>
                <c:pt idx="1">
                  <c:v>156.65</c:v>
                </c:pt>
                <c:pt idx="2">
                  <c:v>93.4</c:v>
                </c:pt>
                <c:pt idx="3">
                  <c:v>142.25</c:v>
                </c:pt>
                <c:pt idx="4">
                  <c:v>143.3</c:v>
                </c:pt>
                <c:pt idx="5">
                  <c:v>130.04</c:v>
                </c:pt>
                <c:pt idx="6">
                  <c:v>172.1</c:v>
                </c:pt>
                <c:pt idx="7">
                  <c:v>98.4</c:v>
                </c:pt>
              </c:numCache>
            </c:numRef>
          </c:val>
        </c:ser>
        <c:ser>
          <c:idx val="1"/>
          <c:order val="1"/>
          <c:tx>
            <c:strRef>
              <c:f>Диаграмы!$AQ$203</c:f>
              <c:strCache>
                <c:ptCount val="1"/>
                <c:pt idx="0">
                  <c:v>Плата для населения с НДС руб. с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Диаграмы!$AQ$193:$AQ$200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Диаграмы!$AS$193:$AS$200</c:f>
              <c:numCache>
                <c:ptCount val="8"/>
                <c:pt idx="0">
                  <c:v>164.16</c:v>
                </c:pt>
                <c:pt idx="1">
                  <c:v>156.65</c:v>
                </c:pt>
                <c:pt idx="2">
                  <c:v>93.4</c:v>
                </c:pt>
                <c:pt idx="3">
                  <c:v>142.25</c:v>
                </c:pt>
                <c:pt idx="4">
                  <c:v>143.3</c:v>
                </c:pt>
                <c:pt idx="5">
                  <c:v>130.04</c:v>
                </c:pt>
                <c:pt idx="6">
                  <c:v>172.1</c:v>
                </c:pt>
                <c:pt idx="7">
                  <c:v>98.4</c:v>
                </c:pt>
              </c:numCache>
            </c:numRef>
          </c:val>
        </c:ser>
        <c:axId val="37727613"/>
        <c:axId val="4004198"/>
      </c:bar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7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8195"/>
          <c:w val="0.9255"/>
          <c:h val="0.10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стоимости содержания типовой двухкомнатной неприватизированной квартиры в капитальном доме для семьи из трех человек общей площадью 54 кв.м. в муниципальных образованиях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.003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675"/>
          <c:w val="0.969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Диаграмы!$BE$10</c:f>
              <c:strCache>
                <c:ptCount val="1"/>
                <c:pt idx="0">
                  <c:v>Капитальный дом с водоснабжением, водоотведением, теплоснабжением, горячим водоснабжением, вывозом и утилизацией ТБО, без учета лифта, мусоропровода, газоснабжения, электроснабжения руб. в месяц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Диаграмы!$BE$1:$BE$8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Диаграмы!$BF$1:$BF$8</c:f>
              <c:numCache>
                <c:ptCount val="8"/>
                <c:pt idx="0">
                  <c:v>3104.28</c:v>
                </c:pt>
                <c:pt idx="1">
                  <c:v>2631.12</c:v>
                </c:pt>
                <c:pt idx="2">
                  <c:v>2515.5</c:v>
                </c:pt>
                <c:pt idx="3">
                  <c:v>4342.75</c:v>
                </c:pt>
                <c:pt idx="4">
                  <c:v>3266</c:v>
                </c:pt>
                <c:pt idx="5">
                  <c:v>2776.46</c:v>
                </c:pt>
                <c:pt idx="6">
                  <c:v>2912.76</c:v>
                </c:pt>
                <c:pt idx="7">
                  <c:v>2547.9</c:v>
                </c:pt>
              </c:numCache>
            </c:numRef>
          </c:val>
        </c:ser>
        <c:ser>
          <c:idx val="1"/>
          <c:order val="1"/>
          <c:tx>
            <c:strRef>
              <c:f>Диаграмы!$BE$11</c:f>
              <c:strCache>
                <c:ptCount val="1"/>
                <c:pt idx="0">
                  <c:v>Капитальный дом с водоснабжением, водоотведением, теплоснабжением, горячим водоснабжением, вывозом и утилизацией ТБО, без учета лифта, мусоропровода, газоснабжения, электроснабжения руб. в месяц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Диаграмы!$BE$1:$BE$8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Диаграмы!$BG$1:$BG$8</c:f>
              <c:numCache>
                <c:ptCount val="8"/>
                <c:pt idx="0">
                  <c:v>3252.06</c:v>
                </c:pt>
                <c:pt idx="1">
                  <c:v>2631.12</c:v>
                </c:pt>
                <c:pt idx="2">
                  <c:v>2515.5</c:v>
                </c:pt>
                <c:pt idx="3">
                  <c:v>4342.75</c:v>
                </c:pt>
                <c:pt idx="4">
                  <c:v>3266</c:v>
                </c:pt>
                <c:pt idx="5">
                  <c:v>2776.46</c:v>
                </c:pt>
                <c:pt idx="6">
                  <c:v>2912.76</c:v>
                </c:pt>
                <c:pt idx="7">
                  <c:v>2547.9</c:v>
                </c:pt>
              </c:numCache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  <c:max val="6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37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825"/>
          <c:w val="0.975"/>
          <c:h val="0.151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размеров платы на содержание и текущий ремонт жилищного фонда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8875"/>
          <c:w val="0.977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Диаграмы!$A$10</c:f>
              <c:strCache>
                <c:ptCount val="1"/>
                <c:pt idx="0">
                  <c:v>Размер платы для населения с НДС руб. за кв.м.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Диаграмы!$A$1:$A$8</c:f>
              <c:strCache/>
            </c:strRef>
          </c:cat>
          <c:val>
            <c:numRef>
              <c:f>Диаграмы!$B$1:$B$8</c:f>
              <c:numCache/>
            </c:numRef>
          </c:val>
        </c:ser>
        <c:ser>
          <c:idx val="1"/>
          <c:order val="1"/>
          <c:tx>
            <c:strRef>
              <c:f>Диаграмы!$A$11</c:f>
              <c:strCache>
                <c:ptCount val="1"/>
                <c:pt idx="0">
                  <c:v>Размер платы для населения с НДС руб. за кв.м.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Диаграмы!$A$1:$A$8</c:f>
              <c:strCache/>
            </c:strRef>
          </c:cat>
          <c:val>
            <c:numRef>
              <c:f>Диаграмы!$C$1:$C$8</c:f>
              <c:numCache/>
            </c:numRef>
          </c:val>
        </c:ser>
        <c:axId val="33379281"/>
        <c:axId val="31978074"/>
      </c:bar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978074"/>
        <c:crosses val="autoZero"/>
        <c:auto val="1"/>
        <c:lblOffset val="100"/>
        <c:noMultiLvlLbl val="0"/>
      </c:catAx>
      <c:valAx>
        <c:axId val="31978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79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"/>
          <c:y val="0.8915"/>
          <c:w val="0.92225"/>
          <c:h val="0.10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размеров платы на техническое обслуживание и текущий ремонт лифтов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2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925"/>
          <c:w val="0.9705"/>
          <c:h val="0.6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Диаграмы!$A$42</c:f>
              <c:strCache>
                <c:ptCount val="1"/>
                <c:pt idx="0">
                  <c:v>Размер платы для населения с НДС руб. за лифт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Диаграмы!$A$33:$A$40</c:f>
              <c:strCache/>
            </c:strRef>
          </c:cat>
          <c:val>
            <c:numRef>
              <c:f>Диаграмы!$B$33:$B$40</c:f>
              <c:numCache/>
            </c:numRef>
          </c:val>
        </c:ser>
        <c:ser>
          <c:idx val="1"/>
          <c:order val="1"/>
          <c:tx>
            <c:strRef>
              <c:f>Диаграмы!$A$43</c:f>
              <c:strCache>
                <c:ptCount val="1"/>
                <c:pt idx="0">
                  <c:v>Размер платы для населения с НДС руб. за лифт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Диаграмы!$A$33:$A$40</c:f>
              <c:strCache/>
            </c:strRef>
          </c:cat>
          <c:val>
            <c:numRef>
              <c:f>Диаграмы!$C$33:$C$40</c:f>
              <c:numCache/>
            </c:numRef>
          </c:val>
        </c:ser>
        <c:axId val="19367211"/>
        <c:axId val="40087172"/>
      </c:bar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67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025"/>
          <c:y val="0.80725"/>
          <c:w val="0.93125"/>
          <c:h val="0.10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размеров платы за вывоз твердых бытовых отходов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155"/>
          <c:w val="0.97725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Диаграмы!$A$74</c:f>
              <c:strCache>
                <c:ptCount val="1"/>
                <c:pt idx="0">
                  <c:v>Размер платы для населения с НДС руб. за куб.м.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Диаграмы!$A$65:$A$72</c:f>
              <c:strCache/>
            </c:strRef>
          </c:cat>
          <c:val>
            <c:numRef>
              <c:f>Диаграмы!$B$65:$B$72</c:f>
              <c:numCache/>
            </c:numRef>
          </c:val>
        </c:ser>
        <c:ser>
          <c:idx val="1"/>
          <c:order val="1"/>
          <c:tx>
            <c:strRef>
              <c:f>Диаграмы!$A$75</c:f>
              <c:strCache>
                <c:ptCount val="1"/>
                <c:pt idx="0">
                  <c:v>Размер платы для населения с НДС руб. за куб.м.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Диаграмы!$A$65:$A$72</c:f>
              <c:strCache/>
            </c:strRef>
          </c:cat>
          <c:val>
            <c:numRef>
              <c:f>Диаграмы!$C$65:$C$72</c:f>
              <c:numCache/>
            </c:numRef>
          </c:val>
        </c:ser>
        <c:axId val="25240229"/>
        <c:axId val="25835470"/>
      </c:bar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835470"/>
        <c:crosses val="autoZero"/>
        <c:auto val="1"/>
        <c:lblOffset val="100"/>
        <c:noMultiLvlLbl val="0"/>
      </c:catAx>
      <c:valAx>
        <c:axId val="25835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0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5"/>
          <c:w val="0.93125"/>
          <c:h val="0.10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тарифов  на тепловую энергию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175"/>
          <c:w val="0.97575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Диаграмы!$A$106</c:f>
              <c:strCache>
                <c:ptCount val="1"/>
                <c:pt idx="0">
                  <c:v>Тариф для населения с НДС руб. за Гкал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Диаграмы!$A$97:$A$104</c:f>
              <c:strCache/>
            </c:strRef>
          </c:cat>
          <c:val>
            <c:numRef>
              <c:f>Диаграмы!$B$97:$B$104</c:f>
              <c:numCache/>
            </c:numRef>
          </c:val>
        </c:ser>
        <c:ser>
          <c:idx val="1"/>
          <c:order val="1"/>
          <c:tx>
            <c:strRef>
              <c:f>Диаграмы!$A$107</c:f>
              <c:strCache>
                <c:ptCount val="1"/>
                <c:pt idx="0">
                  <c:v>Тариф для населения с НДС руб. за Гкал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Диаграмы!$A$97:$A$104</c:f>
              <c:strCache/>
            </c:strRef>
          </c:cat>
          <c:val>
            <c:numRef>
              <c:f>Диаграмы!$C$97:$C$104</c:f>
              <c:numCache/>
            </c:numRef>
          </c:val>
        </c:ser>
        <c:axId val="31192639"/>
        <c:axId val="12298296"/>
      </c:bar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92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25"/>
          <c:y val="0.78125"/>
          <c:w val="0.929"/>
          <c:h val="0.10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тарифов на водоснабжение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675"/>
          <c:w val="0.97775"/>
          <c:h val="0.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Диаграмы!$A$138</c:f>
              <c:strCache>
                <c:ptCount val="1"/>
                <c:pt idx="0">
                  <c:v>Тариф для населения с НДС руб. за куб.м.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Диаграмы!$A$129:$A$136</c:f>
              <c:strCache/>
            </c:strRef>
          </c:cat>
          <c:val>
            <c:numRef>
              <c:f>Диаграмы!$B$129:$B$136</c:f>
              <c:numCache/>
            </c:numRef>
          </c:val>
        </c:ser>
        <c:ser>
          <c:idx val="1"/>
          <c:order val="1"/>
          <c:tx>
            <c:strRef>
              <c:f>Диаграмы!$A$139</c:f>
              <c:strCache>
                <c:ptCount val="1"/>
                <c:pt idx="0">
                  <c:v>Тариф для населения с НДС руб. за куб.м.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Диаграмы!$A$129:$A$136</c:f>
              <c:strCache/>
            </c:strRef>
          </c:cat>
          <c:val>
            <c:numRef>
              <c:f>Диаграмы!$C$129:$C$136</c:f>
              <c:numCache/>
            </c:numRef>
          </c:val>
        </c:ser>
        <c:axId val="43575801"/>
        <c:axId val="56637890"/>
      </c:bar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5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675"/>
          <c:w val="0.93"/>
          <c:h val="0.10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тарифов на водоотведение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05"/>
          <c:w val="0.97775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Диаграмы!$A$170</c:f>
              <c:strCache>
                <c:ptCount val="1"/>
                <c:pt idx="0">
                  <c:v>Тариф для населения с НДС руб. за куб.м.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Диаграмы!$A$161:$A$168</c:f>
              <c:strCache/>
            </c:strRef>
          </c:cat>
          <c:val>
            <c:numRef>
              <c:f>Диаграмы!$B$161:$B$168</c:f>
              <c:numCache/>
            </c:numRef>
          </c:val>
        </c:ser>
        <c:ser>
          <c:idx val="1"/>
          <c:order val="1"/>
          <c:tx>
            <c:strRef>
              <c:f>Диаграмы!$A$171</c:f>
              <c:strCache>
                <c:ptCount val="1"/>
                <c:pt idx="0">
                  <c:v>Тариф для населения с НДС руб. за куб.м.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Диаграмы!$A$161:$A$168</c:f>
              <c:strCache/>
            </c:strRef>
          </c:cat>
          <c:val>
            <c:numRef>
              <c:f>Диаграмы!$C$161:$C$168</c:f>
              <c:numCache/>
            </c:numRef>
          </c:val>
        </c:ser>
        <c:axId val="39978963"/>
        <c:axId val="24266348"/>
      </c:bar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8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52"/>
          <c:w val="0.93"/>
          <c:h val="0.1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размеров платы на техническое обслуживание и текущий ремонт лифтов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3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875"/>
          <c:w val="0.9705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Диаграмы!$A$42</c:f>
              <c:strCache>
                <c:ptCount val="1"/>
                <c:pt idx="0">
                  <c:v>Размер платы для населения с НДС руб. за лифт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Диаграмы!$A$33:$A$40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Диаграмы!$B$33:$B$40</c:f>
              <c:numCache>
                <c:ptCount val="8"/>
                <c:pt idx="0">
                  <c:v>10594.04</c:v>
                </c:pt>
                <c:pt idx="1">
                  <c:v>9488.6</c:v>
                </c:pt>
                <c:pt idx="2">
                  <c:v>0</c:v>
                </c:pt>
                <c:pt idx="3">
                  <c:v>0</c:v>
                </c:pt>
                <c:pt idx="4">
                  <c:v>13476.78</c:v>
                </c:pt>
                <c:pt idx="5">
                  <c:v>8466</c:v>
                </c:pt>
                <c:pt idx="6">
                  <c:v>0</c:v>
                </c:pt>
                <c:pt idx="7">
                  <c:v>9424.66</c:v>
                </c:pt>
              </c:numCache>
            </c:numRef>
          </c:val>
        </c:ser>
        <c:ser>
          <c:idx val="1"/>
          <c:order val="1"/>
          <c:tx>
            <c:strRef>
              <c:f>Диаграмы!$A$43</c:f>
              <c:strCache>
                <c:ptCount val="1"/>
                <c:pt idx="0">
                  <c:v>Размер платы для населения с НДС руб. за лифт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Диаграмы!$A$33:$A$40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Диаграмы!$C$33:$C$40</c:f>
              <c:numCache>
                <c:ptCount val="8"/>
                <c:pt idx="0">
                  <c:v>11973.61</c:v>
                </c:pt>
                <c:pt idx="1">
                  <c:v>9488.6</c:v>
                </c:pt>
                <c:pt idx="2">
                  <c:v>0</c:v>
                </c:pt>
                <c:pt idx="3">
                  <c:v>0</c:v>
                </c:pt>
                <c:pt idx="4">
                  <c:v>13476.78</c:v>
                </c:pt>
                <c:pt idx="5">
                  <c:v>8466</c:v>
                </c:pt>
                <c:pt idx="6">
                  <c:v>0</c:v>
                </c:pt>
                <c:pt idx="7">
                  <c:v>9424.66</c:v>
                </c:pt>
              </c:numCache>
            </c:numRef>
          </c:val>
        </c:ser>
        <c:axId val="61889881"/>
        <c:axId val="20138018"/>
      </c:bar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  <c:max val="18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89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8195"/>
          <c:w val="0.90075"/>
          <c:h val="0.10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нормативов накопления за вывоз твердых бытовых отходов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15"/>
          <c:w val="0.97725"/>
          <c:h val="0.5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Диаграмы!$O$74</c:f>
              <c:strCache>
                <c:ptCount val="1"/>
                <c:pt idx="0">
                  <c:v>Норматив накопления для населения куб.м. на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Диаграмы!$O$65:$O$72</c:f>
              <c:strCache/>
            </c:strRef>
          </c:cat>
          <c:val>
            <c:numRef>
              <c:f>Диаграмы!$P$65:$P$72</c:f>
              <c:numCache/>
            </c:numRef>
          </c:val>
        </c:ser>
        <c:ser>
          <c:idx val="1"/>
          <c:order val="1"/>
          <c:tx>
            <c:strRef>
              <c:f>Диаграмы!$O$75</c:f>
              <c:strCache>
                <c:ptCount val="1"/>
                <c:pt idx="0">
                  <c:v>Норматив накопления для населения куб.м. на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Диаграмы!$O$65:$O$72</c:f>
              <c:strCache/>
            </c:strRef>
          </c:cat>
          <c:val>
            <c:numRef>
              <c:f>Диаграмы!$Q$65:$Q$72</c:f>
              <c:numCache/>
            </c:numRef>
          </c:val>
        </c:ser>
        <c:axId val="17070541"/>
        <c:axId val="19417142"/>
      </c:bar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70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575"/>
          <c:w val="0.93125"/>
          <c:h val="0.10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нормативов потребления  на теплоснабжение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725"/>
          <c:w val="0.97775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Диаграмы!$O$106</c:f>
              <c:strCache>
                <c:ptCount val="1"/>
                <c:pt idx="0">
                  <c:v>Норматив потребления для населения Гкал на кв.м.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Диаграмы!$O$97:$O$104</c:f>
              <c:strCache/>
            </c:strRef>
          </c:cat>
          <c:val>
            <c:numRef>
              <c:f>Диаграмы!$P$97:$P$104</c:f>
              <c:numCache/>
            </c:numRef>
          </c:val>
        </c:ser>
        <c:ser>
          <c:idx val="1"/>
          <c:order val="1"/>
          <c:tx>
            <c:strRef>
              <c:f>Диаграмы!$O$107</c:f>
              <c:strCache>
                <c:ptCount val="1"/>
                <c:pt idx="0">
                  <c:v>Норматив потребления для населения Гкал на кв.м.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Диаграмы!$O$97:$O$104</c:f>
              <c:strCache/>
            </c:strRef>
          </c:cat>
          <c:val>
            <c:numRef>
              <c:f>Диаграмы!$Q$97:$Q$104</c:f>
              <c:numCache/>
            </c:numRef>
          </c:val>
        </c:ser>
        <c:axId val="40536551"/>
        <c:axId val="29284640"/>
      </c:bar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36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835"/>
          <c:w val="0.93125"/>
          <c:h val="0.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нормативов потребления на водоснабжение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475"/>
          <c:w val="0.9772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Диаграмы!$O$138</c:f>
              <c:strCache>
                <c:ptCount val="1"/>
                <c:pt idx="0">
                  <c:v>Норматив потребления для населения куб.м. на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Диаграмы!$O$129:$O$136</c:f>
              <c:strCache/>
            </c:strRef>
          </c:cat>
          <c:val>
            <c:numRef>
              <c:f>Диаграмы!$P$129:$P$136</c:f>
              <c:numCache/>
            </c:numRef>
          </c:val>
        </c:ser>
        <c:ser>
          <c:idx val="1"/>
          <c:order val="1"/>
          <c:tx>
            <c:strRef>
              <c:f>Диаграмы!$O$139</c:f>
              <c:strCache>
                <c:ptCount val="1"/>
                <c:pt idx="0">
                  <c:v>Норматив потребления для населения куб.м. на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Диаграмы!$O$129:$O$136</c:f>
              <c:strCache/>
            </c:strRef>
          </c:cat>
          <c:val>
            <c:numRef>
              <c:f>Диаграмы!$Q$129:$Q$136</c:f>
              <c:numCache/>
            </c:numRef>
          </c:val>
        </c:ser>
        <c:axId val="62235169"/>
        <c:axId val="23245610"/>
      </c:bar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5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7"/>
          <c:w val="0.926"/>
          <c:h val="0.10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Динамика нормативов потребления на водоотведение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45"/>
          <c:w val="0.977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Диаграмы!$O$170</c:f>
              <c:strCache>
                <c:ptCount val="1"/>
                <c:pt idx="0">
                  <c:v>Норматив потребления для населения куб.м. на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Диаграмы!$O$161:$O$168</c:f>
              <c:strCache/>
            </c:strRef>
          </c:cat>
          <c:val>
            <c:numRef>
              <c:f>Диаграмы!$P$161:$P$168</c:f>
              <c:numCache/>
            </c:numRef>
          </c:val>
        </c:ser>
        <c:ser>
          <c:idx val="1"/>
          <c:order val="1"/>
          <c:tx>
            <c:strRef>
              <c:f>Диаграмы!$O$171</c:f>
              <c:strCache>
                <c:ptCount val="1"/>
                <c:pt idx="0">
                  <c:v>Норматив потребления для населения куб.м. на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Диаграмы!$O$161:$O$168</c:f>
              <c:strCache/>
            </c:strRef>
          </c:cat>
          <c:val>
            <c:numRef>
              <c:f>Диаграмы!$Q$161:$Q$168</c:f>
              <c:numCache/>
            </c:numRef>
          </c:val>
        </c:ser>
        <c:axId val="7883899"/>
        <c:axId val="3846228"/>
      </c:bar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3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75"/>
          <c:w val="0.93325"/>
          <c:h val="0.10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Динамика нормативов потребления на горячее водоснабжение (подогрев)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45"/>
          <c:w val="0.977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Диаграмы!$O$202</c:f>
              <c:strCache>
                <c:ptCount val="1"/>
                <c:pt idx="0">
                  <c:v>Норматив потребления для населения Гкал на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Диаграмы!$O$193:$O$200</c:f>
              <c:strCache/>
            </c:strRef>
          </c:cat>
          <c:val>
            <c:numRef>
              <c:f>Диаграмы!$P$193:$P$200</c:f>
              <c:numCache/>
            </c:numRef>
          </c:val>
        </c:ser>
        <c:ser>
          <c:idx val="1"/>
          <c:order val="1"/>
          <c:tx>
            <c:strRef>
              <c:f>Диаграмы!$O$203</c:f>
              <c:strCache>
                <c:ptCount val="1"/>
                <c:pt idx="0">
                  <c:v>Норматив потребления для населения Гкал на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Диаграмы!$O$193:$O$200</c:f>
              <c:strCache/>
            </c:strRef>
          </c:cat>
          <c:val>
            <c:numRef>
              <c:f>Диаграмы!$Q$193:$Q$200</c:f>
              <c:numCache/>
            </c:numRef>
          </c:val>
        </c:ser>
        <c:axId val="34616053"/>
        <c:axId val="43109022"/>
      </c:bar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75"/>
          <c:w val="0.93125"/>
          <c:h val="0.10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утвержденных уровней платежей граждан на содержание и текущий ремонт жилищного фонда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8875"/>
          <c:w val="0.97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Диаграмы!$AC$10</c:f>
              <c:strCache>
                <c:ptCount val="1"/>
                <c:pt idx="0">
                  <c:v>Утвержденный уровень платежей граждан в %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Диаграмы!$AC$1:$AC$8</c:f>
              <c:strCache/>
            </c:strRef>
          </c:cat>
          <c:val>
            <c:numRef>
              <c:f>Диаграмы!$AD$1:$AD$8</c:f>
              <c:numCache/>
            </c:numRef>
          </c:val>
        </c:ser>
        <c:ser>
          <c:idx val="1"/>
          <c:order val="1"/>
          <c:tx>
            <c:strRef>
              <c:f>Диаграмы!$AC$11</c:f>
              <c:strCache>
                <c:ptCount val="1"/>
                <c:pt idx="0">
                  <c:v>Утвержденный уровень платежей граждан в %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Диаграмы!$AC$1:$AC$8</c:f>
              <c:strCache/>
            </c:strRef>
          </c:cat>
          <c:val>
            <c:numRef>
              <c:f>Диаграмы!$AE$1:$AE$8</c:f>
              <c:numCache/>
            </c:numRef>
          </c:val>
        </c:ser>
        <c:axId val="52436879"/>
        <c:axId val="2169864"/>
      </c:bar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36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87025"/>
          <c:w val="0.92125"/>
          <c:h val="0.10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утвержденных уровней платежей граждан на техническое обслуживание и ремонт лифтов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45"/>
          <c:w val="0.97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Диаграмы!$AC$42</c:f>
              <c:strCache>
                <c:ptCount val="1"/>
                <c:pt idx="0">
                  <c:v>Утвержденный уровень платежей граждан в %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Диаграмы!$AC$33:$AC$40</c:f>
              <c:strCache/>
            </c:strRef>
          </c:cat>
          <c:val>
            <c:numRef>
              <c:f>Диаграмы!$AD$33:$AD$40</c:f>
              <c:numCache/>
            </c:numRef>
          </c:val>
        </c:ser>
        <c:ser>
          <c:idx val="1"/>
          <c:order val="1"/>
          <c:tx>
            <c:strRef>
              <c:f>Диаграмы!$AC$43</c:f>
              <c:strCache>
                <c:ptCount val="1"/>
                <c:pt idx="0">
                  <c:v>Утвержденный уровень платежей граждан в %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Диаграмы!$AC$33:$AC$40</c:f>
              <c:strCache/>
            </c:strRef>
          </c:cat>
          <c:val>
            <c:numRef>
              <c:f>Диаграмы!$AE$33:$AE$40</c:f>
              <c:numCache/>
            </c:numRef>
          </c:val>
        </c:ser>
        <c:axId val="19528777"/>
        <c:axId val="41541266"/>
      </c:bar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35"/>
          <c:y val="0.82475"/>
          <c:w val="0.92125"/>
          <c:h val="0.1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yr"/>
                <a:ea typeface="Arial Cyr"/>
                <a:cs typeface="Arial Cyr"/>
              </a:rPr>
              <a:t>Динамика утвержденных уровней платежей граждан за вывоз твердых бытовых отходов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6"/>
          <c:w val="0.978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Диаграмы!$AC$74</c:f>
              <c:strCache>
                <c:ptCount val="1"/>
                <c:pt idx="0">
                  <c:v>Утвержденный уровень платежей граждан в %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Диаграмы!$AC$65:$AC$72</c:f>
              <c:strCache/>
            </c:strRef>
          </c:cat>
          <c:val>
            <c:numRef>
              <c:f>Диаграмы!$AD$65:$AD$72</c:f>
              <c:numCache/>
            </c:numRef>
          </c:val>
        </c:ser>
        <c:ser>
          <c:idx val="1"/>
          <c:order val="1"/>
          <c:tx>
            <c:strRef>
              <c:f>Диаграмы!$AC$75</c:f>
              <c:strCache>
                <c:ptCount val="1"/>
                <c:pt idx="0">
                  <c:v>Утвержденный уровень платежей граждан в %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Диаграмы!$AC$65:$AC$72</c:f>
              <c:strCache/>
            </c:strRef>
          </c:cat>
          <c:val>
            <c:numRef>
              <c:f>Диаграмы!$AE$65:$AE$72</c:f>
              <c:numCache/>
            </c:numRef>
          </c:val>
        </c:ser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27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25"/>
          <c:y val="0.82475"/>
          <c:w val="0.8815"/>
          <c:h val="0.1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 Cyr"/>
                <a:ea typeface="Arial Cyr"/>
                <a:cs typeface="Arial Cyr"/>
              </a:rPr>
              <a:t>Динамика утвержденных уровней платежей граждан на теплоснабжение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025"/>
          <c:w val="0.977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Диаграмы!$AC$106</c:f>
              <c:strCache>
                <c:ptCount val="1"/>
                <c:pt idx="0">
                  <c:v>Утвержденный уровень платежей граждан в %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3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Диаграмы!$AC$97:$AC$104</c:f>
              <c:strCache/>
            </c:strRef>
          </c:cat>
          <c:val>
            <c:numRef>
              <c:f>Диаграмы!$AD$97:$AD$104</c:f>
              <c:numCache/>
            </c:numRef>
          </c:val>
        </c:ser>
        <c:ser>
          <c:idx val="1"/>
          <c:order val="1"/>
          <c:tx>
            <c:strRef>
              <c:f>Диаграмы!$AC$107</c:f>
              <c:strCache>
                <c:ptCount val="1"/>
                <c:pt idx="0">
                  <c:v>Утвержденный уровень платежей граждан в %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3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Диаграмы!$AC$97:$AC$104</c:f>
              <c:strCache/>
            </c:strRef>
          </c:cat>
          <c:val>
            <c:numRef>
              <c:f>Диаграмы!$AE$97:$AE$104</c:f>
              <c:numCache/>
            </c:numRef>
          </c:val>
        </c:ser>
        <c:axId val="17485341"/>
        <c:axId val="23150342"/>
      </c:bar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8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35"/>
          <c:y val="0.8165"/>
          <c:w val="0.92125"/>
          <c:h val="0.10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утвержденных уровней платежей граждан на водоснабжение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375"/>
          <c:w val="0.97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Диаграмы!$AC$138</c:f>
              <c:strCache>
                <c:ptCount val="1"/>
                <c:pt idx="0">
                  <c:v>Утвержденный уровень платежей граждан в %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Диаграмы!$AC$129:$AC$136</c:f>
              <c:strCache/>
            </c:strRef>
          </c:cat>
          <c:val>
            <c:numRef>
              <c:f>Диаграмы!$AD$129:$AD$136</c:f>
              <c:numCache/>
            </c:numRef>
          </c:val>
        </c:ser>
        <c:ser>
          <c:idx val="1"/>
          <c:order val="1"/>
          <c:tx>
            <c:strRef>
              <c:f>Диаграмы!$AC$139</c:f>
              <c:strCache>
                <c:ptCount val="1"/>
                <c:pt idx="0">
                  <c:v>Утвержденный уровень платежей граждан в %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Диаграмы!$AC$129:$AC$136</c:f>
              <c:strCache/>
            </c:strRef>
          </c:cat>
          <c:val>
            <c:numRef>
              <c:f>Диаграмы!$AE$129:$AE$136</c:f>
              <c:numCache/>
            </c:numRef>
          </c:val>
        </c:ser>
        <c:axId val="7026487"/>
        <c:axId val="63238384"/>
      </c:barChart>
      <c:cat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26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82475"/>
          <c:w val="0.92225"/>
          <c:h val="0.1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размеров платы за вывоз твердых бытовых отходов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625"/>
          <c:w val="0.97575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Диаграмы!$A$74</c:f>
              <c:strCache>
                <c:ptCount val="1"/>
                <c:pt idx="0">
                  <c:v>Размер платы для населения с НДС руб. за куб.м.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Диаграмы!$A$65:$A$72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Диаграмы!$B$65:$B$72</c:f>
              <c:numCache>
                <c:ptCount val="8"/>
                <c:pt idx="0">
                  <c:v>160.83</c:v>
                </c:pt>
                <c:pt idx="1">
                  <c:v>100.65</c:v>
                </c:pt>
                <c:pt idx="2">
                  <c:v>251.93</c:v>
                </c:pt>
                <c:pt idx="3">
                  <c:v>0</c:v>
                </c:pt>
                <c:pt idx="4">
                  <c:v>0</c:v>
                </c:pt>
                <c:pt idx="5">
                  <c:v>275</c:v>
                </c:pt>
                <c:pt idx="6">
                  <c:v>254.04</c:v>
                </c:pt>
                <c:pt idx="7">
                  <c:v>222.55</c:v>
                </c:pt>
              </c:numCache>
            </c:numRef>
          </c:val>
        </c:ser>
        <c:ser>
          <c:idx val="1"/>
          <c:order val="1"/>
          <c:tx>
            <c:strRef>
              <c:f>Диаграмы!$A$75</c:f>
              <c:strCache>
                <c:ptCount val="1"/>
                <c:pt idx="0">
                  <c:v>Размер платы для населения с НДС руб. за куб.м.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Диаграмы!$A$65:$A$72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Диаграмы!$C$65:$C$72</c:f>
              <c:numCache>
                <c:ptCount val="8"/>
                <c:pt idx="0">
                  <c:v>155.26</c:v>
                </c:pt>
                <c:pt idx="1">
                  <c:v>100.65</c:v>
                </c:pt>
                <c:pt idx="2">
                  <c:v>251.93</c:v>
                </c:pt>
                <c:pt idx="3">
                  <c:v>0</c:v>
                </c:pt>
                <c:pt idx="4">
                  <c:v>0</c:v>
                </c:pt>
                <c:pt idx="5">
                  <c:v>275</c:v>
                </c:pt>
                <c:pt idx="6">
                  <c:v>254.04</c:v>
                </c:pt>
                <c:pt idx="7">
                  <c:v>222.55</c:v>
                </c:pt>
              </c:numCache>
            </c:numRef>
          </c:val>
        </c:ser>
        <c:axId val="47024435"/>
        <c:axId val="20566732"/>
      </c:bar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2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79375"/>
          <c:w val="0.9245"/>
          <c:h val="0.10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утвержденных уровней платежей граждан на водоотведение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45"/>
          <c:w val="0.97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Диаграмы!$AC$170</c:f>
              <c:strCache>
                <c:ptCount val="1"/>
                <c:pt idx="0">
                  <c:v>Утвержденный уровень платежей граждан в %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Диаграмы!$AC$161:$AC$168</c:f>
              <c:strCache/>
            </c:strRef>
          </c:cat>
          <c:val>
            <c:numRef>
              <c:f>Диаграмы!$AD$161:$AD$168</c:f>
              <c:numCache/>
            </c:numRef>
          </c:val>
        </c:ser>
        <c:ser>
          <c:idx val="1"/>
          <c:order val="1"/>
          <c:tx>
            <c:strRef>
              <c:f>Диаграмы!$AC$171</c:f>
              <c:strCache>
                <c:ptCount val="1"/>
                <c:pt idx="0">
                  <c:v>Утвержденный уровень платежей граждан в %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Диаграмы!$AC$161:$AC$168</c:f>
              <c:strCache/>
            </c:strRef>
          </c:cat>
          <c:val>
            <c:numRef>
              <c:f>Диаграмы!$AE$161:$AE$168</c:f>
              <c:numCache/>
            </c:numRef>
          </c:val>
        </c:ser>
        <c:axId val="32274545"/>
        <c:axId val="22035450"/>
      </c:bar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4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82475"/>
          <c:w val="0.91925"/>
          <c:h val="0.1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утвержденных уровней платежей граждан на горячее водоснабжение (подогрев)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2"/>
          <c:w val="0.980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Диаграмы!$AC$202</c:f>
              <c:strCache>
                <c:ptCount val="1"/>
                <c:pt idx="0">
                  <c:v>Утвержденный уровень платежей граждан в %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Диаграмы!$AC$193:$AC$200</c:f>
              <c:strCache/>
            </c:strRef>
          </c:cat>
          <c:val>
            <c:numRef>
              <c:f>Диаграмы!$AD$193:$AD$200</c:f>
              <c:numCache/>
            </c:numRef>
          </c:val>
        </c:ser>
        <c:ser>
          <c:idx val="1"/>
          <c:order val="1"/>
          <c:tx>
            <c:strRef>
              <c:f>Диаграмы!$AC$203</c:f>
              <c:strCache>
                <c:ptCount val="1"/>
                <c:pt idx="0">
                  <c:v>Утвержденный уровень платежей граждан в %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Диаграмы!$AC$193:$AC$200</c:f>
              <c:strCache/>
            </c:strRef>
          </c:cat>
          <c:val>
            <c:numRef>
              <c:f>Диаграмы!$AE$193:$AE$200</c:f>
              <c:numCache/>
            </c:numRef>
          </c:val>
        </c:ser>
        <c:axId val="64101323"/>
        <c:axId val="40040996"/>
      </c:bar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01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35"/>
          <c:y val="0.8245"/>
          <c:w val="0.92225"/>
          <c:h val="0.10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содержание и текущий ремонт жилищного фонда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8875"/>
          <c:w val="0.97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Диаграмы!$AQ$10</c:f>
              <c:strCache>
                <c:ptCount val="1"/>
                <c:pt idx="0">
                  <c:v>Плата для населения с НДС руб. за кв.м.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Диаграмы!$AQ$1:$AQ$8</c:f>
              <c:strCache/>
            </c:strRef>
          </c:cat>
          <c:val>
            <c:numRef>
              <c:f>Диаграмы!$AR$1:$AR$8</c:f>
              <c:numCache/>
            </c:numRef>
          </c:val>
        </c:ser>
        <c:ser>
          <c:idx val="1"/>
          <c:order val="1"/>
          <c:tx>
            <c:strRef>
              <c:f>Диаграмы!$AQ$11</c:f>
              <c:strCache>
                <c:ptCount val="1"/>
                <c:pt idx="0">
                  <c:v>Плата для населения с НДС руб. за кв.м.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Диаграмы!$AQ$1:$AQ$8</c:f>
              <c:strCache/>
            </c:strRef>
          </c:cat>
          <c:val>
            <c:numRef>
              <c:f>Диаграмы!$AS$1:$AS$8</c:f>
              <c:numCache/>
            </c:numRef>
          </c:val>
        </c:ser>
        <c:axId val="24824645"/>
        <c:axId val="22095214"/>
      </c:bar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2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35"/>
          <c:y val="0.87025"/>
          <c:w val="0.9265"/>
          <c:h val="0.10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yr"/>
                <a:ea typeface="Arial Cyr"/>
                <a:cs typeface="Arial Cyr"/>
              </a:rPr>
              <a:t>Динамика оплаты услуг за вывоз твердых бытовых отходов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75"/>
          <c:w val="0.9787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Диаграмы!$AQ$74</c:f>
              <c:strCache>
                <c:ptCount val="1"/>
                <c:pt idx="0">
                  <c:v>Плата для населения с НДС руб. с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Диаграмы!$AQ$65:$AQ$72</c:f>
              <c:strCache/>
            </c:strRef>
          </c:cat>
          <c:val>
            <c:numRef>
              <c:f>Диаграмы!$AR$65:$AR$72</c:f>
              <c:numCache/>
            </c:numRef>
          </c:val>
        </c:ser>
        <c:ser>
          <c:idx val="1"/>
          <c:order val="1"/>
          <c:tx>
            <c:strRef>
              <c:f>Диаграмы!$AQ$75</c:f>
              <c:strCache>
                <c:ptCount val="1"/>
                <c:pt idx="0">
                  <c:v>Плата для населения с НДС руб. с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Диаграмы!$AQ$65:$AQ$72</c:f>
              <c:strCache/>
            </c:strRef>
          </c:cat>
          <c:val>
            <c:numRef>
              <c:f>Диаграмы!$AS$65:$AS$72</c:f>
              <c:numCache/>
            </c:numRef>
          </c:val>
        </c:ser>
        <c:axId val="64639199"/>
        <c:axId val="44881880"/>
      </c:bar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3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25"/>
          <c:y val="0.7845"/>
          <c:w val="0.8695"/>
          <c:h val="0.10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теплоснабжение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975"/>
          <c:w val="0.9772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Диаграмы!$AQ$106</c:f>
              <c:strCache>
                <c:ptCount val="1"/>
                <c:pt idx="0">
                  <c:v>Плата для населения с НДС руб. за кв.м.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Диаграмы!$AQ$97:$AQ$104</c:f>
              <c:strCache/>
            </c:strRef>
          </c:cat>
          <c:val>
            <c:numRef>
              <c:f>Диаграмы!$AR$97:$AR$104</c:f>
              <c:numCache/>
            </c:numRef>
          </c:val>
        </c:ser>
        <c:ser>
          <c:idx val="1"/>
          <c:order val="1"/>
          <c:tx>
            <c:strRef>
              <c:f>Диаграмы!$AQ$107</c:f>
              <c:strCache>
                <c:ptCount val="1"/>
                <c:pt idx="0">
                  <c:v>Плата для населения с НДС руб. за кв.м.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Диаграмы!$AQ$97:$AQ$104</c:f>
              <c:strCache/>
            </c:strRef>
          </c:cat>
          <c:val>
            <c:numRef>
              <c:f>Диаграмы!$AS$97:$AS$104</c:f>
              <c:numCache/>
            </c:numRef>
          </c:val>
        </c:ser>
        <c:axId val="1283737"/>
        <c:axId val="11553634"/>
      </c:bar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8425"/>
          <c:w val="0.9285"/>
          <c:h val="0.10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водоснабжение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95"/>
          <c:w val="0.977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Диаграмы!$AQ$138</c:f>
              <c:strCache>
                <c:ptCount val="1"/>
                <c:pt idx="0">
                  <c:v>Плата для населения с НДС руб. с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Диаграмы!$AQ$129:$AQ$136</c:f>
              <c:strCache/>
            </c:strRef>
          </c:cat>
          <c:val>
            <c:numRef>
              <c:f>Диаграмы!$AR$129:$AR$136</c:f>
              <c:numCache/>
            </c:numRef>
          </c:val>
        </c:ser>
        <c:ser>
          <c:idx val="1"/>
          <c:order val="1"/>
          <c:tx>
            <c:strRef>
              <c:f>Диаграмы!$AQ$139</c:f>
              <c:strCache>
                <c:ptCount val="1"/>
                <c:pt idx="0">
                  <c:v>Плата для населения с НДС руб. с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Диаграмы!$AQ$129:$AQ$136</c:f>
              <c:strCache/>
            </c:strRef>
          </c:cat>
          <c:val>
            <c:numRef>
              <c:f>Диаграмы!$AS$129:$AS$136</c:f>
              <c:numCache/>
            </c:numRef>
          </c:val>
        </c:ser>
        <c:axId val="36873843"/>
        <c:axId val="63429132"/>
      </c:bar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3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819"/>
          <c:w val="0.9245"/>
          <c:h val="0.10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водоотведение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9"/>
          <c:w val="0.97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Диаграмы!$AQ$170</c:f>
              <c:strCache>
                <c:ptCount val="1"/>
                <c:pt idx="0">
                  <c:v>Плата для населения с НДС руб. с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Диаграмы!$AQ$161:$AQ$168</c:f>
              <c:strCache/>
            </c:strRef>
          </c:cat>
          <c:val>
            <c:numRef>
              <c:f>Диаграмы!$AR$161:$AR$168</c:f>
              <c:numCache/>
            </c:numRef>
          </c:val>
        </c:ser>
        <c:ser>
          <c:idx val="1"/>
          <c:order val="1"/>
          <c:tx>
            <c:strRef>
              <c:f>Диаграмы!$AQ$171</c:f>
              <c:strCache>
                <c:ptCount val="1"/>
                <c:pt idx="0">
                  <c:v>Плата для населения с НДС руб. с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Диаграмы!$AQ$161:$AQ$168</c:f>
              <c:strCache/>
            </c:strRef>
          </c:cat>
          <c:val>
            <c:numRef>
              <c:f>Диаграмы!$AS$161:$AS$168</c:f>
              <c:numCache/>
            </c:numRef>
          </c:val>
        </c:ser>
        <c:axId val="33991277"/>
        <c:axId val="37486038"/>
      </c:bar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75"/>
          <c:y val="0.81725"/>
          <c:w val="0.92325"/>
          <c:h val="0.10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горячее водоснабжение 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9"/>
          <c:w val="0.97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Диаграмы!$AQ$202</c:f>
              <c:strCache>
                <c:ptCount val="1"/>
                <c:pt idx="0">
                  <c:v>Плата для населения с НДС руб. с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Диаграмы!$AQ$193:$AQ$200</c:f>
              <c:strCache/>
            </c:strRef>
          </c:cat>
          <c:val>
            <c:numRef>
              <c:f>Диаграмы!$AR$193:$AR$200</c:f>
              <c:numCache/>
            </c:numRef>
          </c:val>
        </c:ser>
        <c:ser>
          <c:idx val="1"/>
          <c:order val="1"/>
          <c:tx>
            <c:strRef>
              <c:f>Диаграмы!$AQ$203</c:f>
              <c:strCache>
                <c:ptCount val="1"/>
                <c:pt idx="0">
                  <c:v>Плата для населения с НДС руб. с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Диаграмы!$AQ$193:$AQ$200</c:f>
              <c:strCache/>
            </c:strRef>
          </c:cat>
          <c:val>
            <c:numRef>
              <c:f>Диаграмы!$AS$193:$AS$200</c:f>
              <c:numCache/>
            </c:numRef>
          </c:val>
        </c:ser>
        <c:axId val="1830023"/>
        <c:axId val="16470208"/>
      </c:bar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0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.81925"/>
          <c:w val="0.9265"/>
          <c:h val="0.10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стоимости содержания типовой двухкомнатной неприватизированной квартиры в капитальном доме для семьи из трех человек общей площадью 54 кв.м. в муниципальных образованиях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.003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82"/>
          <c:w val="0.97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Диаграмы!$BE$10</c:f>
              <c:strCache>
                <c:ptCount val="1"/>
                <c:pt idx="0">
                  <c:v>Капитальный дом с водоснабжением, водоотведением, теплоснабжением, горячим водоснабжением, вывозом и утилизацией ТБО, без учета лифта, мусоропровода, газоснабжения, электроснабжения руб. в месяц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Диаграмы!$BE$1:$BE$8</c:f>
              <c:strCache/>
            </c:strRef>
          </c:cat>
          <c:val>
            <c:numRef>
              <c:f>Диаграмы!$BF$1:$BF$8</c:f>
              <c:numCache/>
            </c:numRef>
          </c:val>
        </c:ser>
        <c:ser>
          <c:idx val="1"/>
          <c:order val="1"/>
          <c:tx>
            <c:strRef>
              <c:f>Диаграмы!$BE$11</c:f>
              <c:strCache>
                <c:ptCount val="1"/>
                <c:pt idx="0">
                  <c:v>Капитальный дом с водоснабжением, водоотведением, теплоснабжением, горячим водоснабжением, вывозом и утилизацией ТБО, без учета лифта, мусоропровода, газоснабжения, электроснабжения руб. в месяц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Диаграмы!$BE$1:$BE$8</c:f>
              <c:strCache/>
            </c:strRef>
          </c:cat>
          <c:val>
            <c:numRef>
              <c:f>Диаграмы!$BG$1:$BG$8</c:f>
              <c:numCache/>
            </c:numRef>
          </c:val>
        </c:ser>
        <c:axId val="14014145"/>
        <c:axId val="59018442"/>
      </c:bar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018442"/>
        <c:crosses val="autoZero"/>
        <c:auto val="1"/>
        <c:lblOffset val="100"/>
        <c:noMultiLvlLbl val="0"/>
      </c:catAx>
      <c:valAx>
        <c:axId val="59018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1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827"/>
          <c:w val="0.974"/>
          <c:h val="0.151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тарифов  на тепловую энергию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58"/>
          <c:w val="0.976"/>
          <c:h val="0.6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Диаграмы!$A$106</c:f>
              <c:strCache>
                <c:ptCount val="1"/>
                <c:pt idx="0">
                  <c:v>Тариф для населения с НДС руб. за Гкал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Диаграмы!$A$97:$A$104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Диаграмы!$B$97:$B$104</c:f>
              <c:numCache>
                <c:ptCount val="8"/>
                <c:pt idx="0">
                  <c:v>692.66</c:v>
                </c:pt>
                <c:pt idx="1">
                  <c:v>500.45</c:v>
                </c:pt>
                <c:pt idx="2">
                  <c:v>518.08</c:v>
                </c:pt>
                <c:pt idx="3">
                  <c:v>1008.9</c:v>
                </c:pt>
                <c:pt idx="4">
                  <c:v>597.08</c:v>
                </c:pt>
                <c:pt idx="5">
                  <c:v>551</c:v>
                </c:pt>
                <c:pt idx="6">
                  <c:v>669.06</c:v>
                </c:pt>
                <c:pt idx="7">
                  <c:v>660.8</c:v>
                </c:pt>
              </c:numCache>
            </c:numRef>
          </c:val>
        </c:ser>
        <c:ser>
          <c:idx val="1"/>
          <c:order val="1"/>
          <c:tx>
            <c:strRef>
              <c:f>Диаграмы!$A$107</c:f>
              <c:strCache>
                <c:ptCount val="1"/>
                <c:pt idx="0">
                  <c:v>Тариф для населения с НДС руб. за Гкал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Диаграмы!$A$97:$A$104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Диаграмы!$C$97:$C$104</c:f>
              <c:numCache>
                <c:ptCount val="8"/>
                <c:pt idx="0">
                  <c:v>692.66</c:v>
                </c:pt>
                <c:pt idx="1">
                  <c:v>500.45</c:v>
                </c:pt>
                <c:pt idx="2">
                  <c:v>518.08</c:v>
                </c:pt>
                <c:pt idx="3">
                  <c:v>1008.9</c:v>
                </c:pt>
                <c:pt idx="4">
                  <c:v>597.08</c:v>
                </c:pt>
                <c:pt idx="5">
                  <c:v>551</c:v>
                </c:pt>
                <c:pt idx="6">
                  <c:v>669.06</c:v>
                </c:pt>
                <c:pt idx="7">
                  <c:v>660.8</c:v>
                </c:pt>
              </c:numCache>
            </c:numRef>
          </c:val>
        </c:ser>
        <c:axId val="50882861"/>
        <c:axId val="55292566"/>
      </c:bar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2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84675"/>
          <c:w val="0.88075"/>
          <c:h val="0.10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тарифов на услуги водоснабжения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65"/>
          <c:w val="0.97775"/>
          <c:h val="0.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Диаграмы!$A$138</c:f>
              <c:strCache>
                <c:ptCount val="1"/>
                <c:pt idx="0">
                  <c:v>Тариф для населения с НДС руб. за куб.м.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Диаграмы!$A$129:$A$136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Диаграмы!$B$129:$B$136</c:f>
              <c:numCache>
                <c:ptCount val="8"/>
                <c:pt idx="0">
                  <c:v>14.68</c:v>
                </c:pt>
                <c:pt idx="1">
                  <c:v>11.86</c:v>
                </c:pt>
                <c:pt idx="2">
                  <c:v>14.16</c:v>
                </c:pt>
                <c:pt idx="3">
                  <c:v>38.74</c:v>
                </c:pt>
                <c:pt idx="4">
                  <c:v>13.33</c:v>
                </c:pt>
                <c:pt idx="5">
                  <c:v>12.8</c:v>
                </c:pt>
                <c:pt idx="6">
                  <c:v>15.98</c:v>
                </c:pt>
                <c:pt idx="7">
                  <c:v>13.68</c:v>
                </c:pt>
              </c:numCache>
            </c:numRef>
          </c:val>
        </c:ser>
        <c:ser>
          <c:idx val="1"/>
          <c:order val="1"/>
          <c:tx>
            <c:strRef>
              <c:f>Диаграмы!$A$139</c:f>
              <c:strCache>
                <c:ptCount val="1"/>
                <c:pt idx="0">
                  <c:v>Тариф для населения с НДС руб. за куб.м.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Диаграмы!$A$129:$A$136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Диаграмы!$C$129:$C$136</c:f>
              <c:numCache>
                <c:ptCount val="8"/>
                <c:pt idx="0">
                  <c:v>14.68</c:v>
                </c:pt>
                <c:pt idx="1">
                  <c:v>11.86</c:v>
                </c:pt>
                <c:pt idx="2">
                  <c:v>14.16</c:v>
                </c:pt>
                <c:pt idx="3">
                  <c:v>38.74</c:v>
                </c:pt>
                <c:pt idx="4">
                  <c:v>13.33</c:v>
                </c:pt>
                <c:pt idx="5">
                  <c:v>12.8</c:v>
                </c:pt>
                <c:pt idx="6">
                  <c:v>15.98</c:v>
                </c:pt>
                <c:pt idx="7">
                  <c:v>13.68</c:v>
                </c:pt>
              </c:numCache>
            </c:numRef>
          </c:val>
        </c:ser>
        <c:axId val="27871047"/>
        <c:axId val="49512832"/>
      </c:bar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71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767"/>
          <c:w val="0.91325"/>
          <c:h val="0.10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тарифов на услуги водоотведения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025"/>
          <c:w val="0.977"/>
          <c:h val="0.5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Диаграмы!$A$170</c:f>
              <c:strCache>
                <c:ptCount val="1"/>
                <c:pt idx="0">
                  <c:v>Тариф для населения с НДС руб. за куб.м.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Диаграмы!$A$161:$A$168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Диаграмы!$B$161:$B$168</c:f>
              <c:numCache>
                <c:ptCount val="8"/>
                <c:pt idx="0">
                  <c:v>16.8</c:v>
                </c:pt>
                <c:pt idx="1">
                  <c:v>11.47</c:v>
                </c:pt>
                <c:pt idx="2">
                  <c:v>12.98</c:v>
                </c:pt>
                <c:pt idx="3">
                  <c:v>49.75</c:v>
                </c:pt>
                <c:pt idx="4">
                  <c:v>19.82</c:v>
                </c:pt>
                <c:pt idx="5">
                  <c:v>11.51</c:v>
                </c:pt>
                <c:pt idx="6">
                  <c:v>18.88</c:v>
                </c:pt>
                <c:pt idx="7">
                  <c:v>13.33</c:v>
                </c:pt>
              </c:numCache>
            </c:numRef>
          </c:val>
        </c:ser>
        <c:ser>
          <c:idx val="1"/>
          <c:order val="1"/>
          <c:tx>
            <c:strRef>
              <c:f>Диаграмы!$A$171</c:f>
              <c:strCache>
                <c:ptCount val="1"/>
                <c:pt idx="0">
                  <c:v>Тариф для населения с НДС руб. за куб.м.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Диаграмы!$A$161:$A$168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Диаграмы!$C$161:$C$168</c:f>
              <c:numCache>
                <c:ptCount val="8"/>
                <c:pt idx="0">
                  <c:v>16.8</c:v>
                </c:pt>
                <c:pt idx="1">
                  <c:v>11.47</c:v>
                </c:pt>
                <c:pt idx="2">
                  <c:v>12.98</c:v>
                </c:pt>
                <c:pt idx="3">
                  <c:v>49.75</c:v>
                </c:pt>
                <c:pt idx="4">
                  <c:v>19.82</c:v>
                </c:pt>
                <c:pt idx="5">
                  <c:v>11.51</c:v>
                </c:pt>
                <c:pt idx="6">
                  <c:v>18.88</c:v>
                </c:pt>
                <c:pt idx="7">
                  <c:v>13.33</c:v>
                </c:pt>
              </c:numCache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6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7525"/>
          <c:w val="0.91325"/>
          <c:h val="0.1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содержание и текущий ремонт жилищного фонда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8875"/>
          <c:w val="0.97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Диаграмы!$AQ$10</c:f>
              <c:strCache>
                <c:ptCount val="1"/>
                <c:pt idx="0">
                  <c:v>Плата для населения с НДС руб. за кв.м.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Диаграмы!$AQ$1:$AQ$8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Диаграмы!$AR$1:$AR$8</c:f>
              <c:numCache>
                <c:ptCount val="8"/>
                <c:pt idx="0">
                  <c:v>13.05</c:v>
                </c:pt>
                <c:pt idx="1">
                  <c:v>18.53</c:v>
                </c:pt>
                <c:pt idx="2">
                  <c:v>18.14</c:v>
                </c:pt>
                <c:pt idx="3">
                  <c:v>21.34</c:v>
                </c:pt>
                <c:pt idx="4">
                  <c:v>17.69</c:v>
                </c:pt>
                <c:pt idx="5">
                  <c:v>14.32</c:v>
                </c:pt>
                <c:pt idx="6">
                  <c:v>14.42</c:v>
                </c:pt>
                <c:pt idx="7">
                  <c:v>17.7</c:v>
                </c:pt>
              </c:numCache>
            </c:numRef>
          </c:val>
        </c:ser>
        <c:ser>
          <c:idx val="1"/>
          <c:order val="1"/>
          <c:tx>
            <c:strRef>
              <c:f>Диаграмы!$AQ$11</c:f>
              <c:strCache>
                <c:ptCount val="1"/>
                <c:pt idx="0">
                  <c:v>Плата для населения с НДС руб. за кв.м.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Диаграмы!$AQ$1:$AQ$8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Диаграмы!$AS$1:$AS$8</c:f>
              <c:numCache>
                <c:ptCount val="8"/>
                <c:pt idx="0">
                  <c:v>15.72</c:v>
                </c:pt>
                <c:pt idx="1">
                  <c:v>18.53</c:v>
                </c:pt>
                <c:pt idx="2">
                  <c:v>18.14</c:v>
                </c:pt>
                <c:pt idx="3">
                  <c:v>21.34</c:v>
                </c:pt>
                <c:pt idx="4">
                  <c:v>17.69</c:v>
                </c:pt>
                <c:pt idx="5">
                  <c:v>14.32</c:v>
                </c:pt>
                <c:pt idx="6">
                  <c:v>14.42</c:v>
                </c:pt>
                <c:pt idx="7">
                  <c:v>17.7</c:v>
                </c:pt>
              </c:numCache>
            </c:numRef>
          </c:val>
        </c:ser>
        <c:axId val="57394651"/>
        <c:axId val="46789812"/>
      </c:barChart>
      <c:catAx>
        <c:axId val="573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9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25"/>
          <c:y val="0.8705"/>
          <c:w val="0.9005"/>
          <c:h val="0.10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вывоз твердых бытовых отходов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725"/>
          <c:w val="0.9775"/>
          <c:h val="0.6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Диаграмы!$AQ$74</c:f>
              <c:strCache>
                <c:ptCount val="1"/>
                <c:pt idx="0">
                  <c:v>Плата для населения с НДС руб. с чел.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Диаграмы!$AQ$65:$AQ$72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Диаграмы!$AR$65:$AR$72</c:f>
              <c:numCache>
                <c:ptCount val="8"/>
                <c:pt idx="0">
                  <c:v>16.08</c:v>
                </c:pt>
                <c:pt idx="1">
                  <c:v>12.58</c:v>
                </c:pt>
                <c:pt idx="2">
                  <c:v>28.34</c:v>
                </c:pt>
                <c:pt idx="3">
                  <c:v>0</c:v>
                </c:pt>
                <c:pt idx="4">
                  <c:v>0</c:v>
                </c:pt>
                <c:pt idx="5">
                  <c:v>34.38</c:v>
                </c:pt>
                <c:pt idx="6">
                  <c:v>42.34</c:v>
                </c:pt>
                <c:pt idx="7">
                  <c:v>23</c:v>
                </c:pt>
              </c:numCache>
            </c:numRef>
          </c:val>
        </c:ser>
        <c:ser>
          <c:idx val="1"/>
          <c:order val="1"/>
          <c:tx>
            <c:strRef>
              <c:f>Диаграмы!$AQ$75</c:f>
              <c:strCache>
                <c:ptCount val="1"/>
                <c:pt idx="0">
                  <c:v>Плата для населения с НДС руб. с чел.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Диаграмы!$AQ$65:$AQ$72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Диаграмы!$AS$65:$AS$72</c:f>
              <c:numCache>
                <c:ptCount val="8"/>
                <c:pt idx="0">
                  <c:v>0</c:v>
                </c:pt>
                <c:pt idx="1">
                  <c:v>12.58</c:v>
                </c:pt>
                <c:pt idx="2">
                  <c:v>28.34</c:v>
                </c:pt>
                <c:pt idx="3">
                  <c:v>0</c:v>
                </c:pt>
                <c:pt idx="4">
                  <c:v>0</c:v>
                </c:pt>
                <c:pt idx="5">
                  <c:v>34.38</c:v>
                </c:pt>
                <c:pt idx="6">
                  <c:v>42.34</c:v>
                </c:pt>
                <c:pt idx="7">
                  <c:v>23</c:v>
                </c:pt>
              </c:numCache>
            </c:numRef>
          </c:val>
        </c:ser>
        <c:axId val="18455125"/>
        <c:axId val="31878398"/>
      </c:bar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5"/>
          <c:y val="0.785"/>
          <c:w val="0.965"/>
          <c:h val="0.10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Динамика оплаты услуг за теплоснабжение
 по муниципальным образованиям Ханты-Мансийского автономного округа - Югры</a:t>
            </a:r>
          </a:p>
        </c:rich>
      </c:tx>
      <c:layout>
        <c:manualLayout>
          <c:xMode val="factor"/>
          <c:yMode val="factor"/>
          <c:x val="0.017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975"/>
          <c:w val="0.9772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Диаграмы!$AQ$106</c:f>
              <c:strCache>
                <c:ptCount val="1"/>
                <c:pt idx="0">
                  <c:v>Плата для населения с НДС руб. за кв.м. по состоянию на 01.05.06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Диаграмы!$AQ$97:$AQ$104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Диаграмы!$AR$97:$AR$104</c:f>
              <c:numCache>
                <c:ptCount val="8"/>
                <c:pt idx="0">
                  <c:v>16.62</c:v>
                </c:pt>
                <c:pt idx="1">
                  <c:v>11.51</c:v>
                </c:pt>
                <c:pt idx="2">
                  <c:v>12.32</c:v>
                </c:pt>
                <c:pt idx="3">
                  <c:v>25.22</c:v>
                </c:pt>
                <c:pt idx="4">
                  <c:v>16.72</c:v>
                </c:pt>
                <c:pt idx="5">
                  <c:v>13.78</c:v>
                </c:pt>
                <c:pt idx="6">
                  <c:v>16.73</c:v>
                </c:pt>
                <c:pt idx="7">
                  <c:v>13.3</c:v>
                </c:pt>
              </c:numCache>
            </c:numRef>
          </c:val>
        </c:ser>
        <c:ser>
          <c:idx val="1"/>
          <c:order val="1"/>
          <c:tx>
            <c:strRef>
              <c:f>Диаграмы!$AQ$107</c:f>
              <c:strCache>
                <c:ptCount val="1"/>
                <c:pt idx="0">
                  <c:v>Плата для населения с НДС руб. за кв.м. по состоянию на 01.08.06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Диаграмы!$AQ$97:$AQ$104</c:f>
              <c:strCache>
                <c:ptCount val="8"/>
                <c:pt idx="0">
                  <c:v>Сургут</c:v>
                </c:pt>
                <c:pt idx="1">
                  <c:v>Нижне-вартовск</c:v>
                </c:pt>
                <c:pt idx="2">
                  <c:v>Нефте-юганск</c:v>
                </c:pt>
                <c:pt idx="3">
                  <c:v>Ханты-Мансийск</c:v>
                </c:pt>
                <c:pt idx="4">
                  <c:v>Когалым</c:v>
                </c:pt>
                <c:pt idx="5">
                  <c:v>Лангепас</c:v>
                </c:pt>
                <c:pt idx="6">
                  <c:v>Урай</c:v>
                </c:pt>
                <c:pt idx="7">
                  <c:v>Мегион</c:v>
                </c:pt>
              </c:strCache>
            </c:strRef>
          </c:cat>
          <c:val>
            <c:numRef>
              <c:f>Диаграмы!$AS$97:$AS$104</c:f>
              <c:numCache>
                <c:ptCount val="8"/>
                <c:pt idx="0">
                  <c:v>16.62</c:v>
                </c:pt>
                <c:pt idx="1">
                  <c:v>11.51</c:v>
                </c:pt>
                <c:pt idx="2">
                  <c:v>12.32</c:v>
                </c:pt>
                <c:pt idx="3">
                  <c:v>25.22</c:v>
                </c:pt>
                <c:pt idx="4">
                  <c:v>16.72</c:v>
                </c:pt>
                <c:pt idx="5">
                  <c:v>13.78</c:v>
                </c:pt>
                <c:pt idx="6">
                  <c:v>16.73</c:v>
                </c:pt>
                <c:pt idx="7">
                  <c:v>13.3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70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75"/>
          <c:y val="0.84275"/>
          <c:w val="0.914"/>
          <c:h val="0.10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0</xdr:col>
      <xdr:colOff>685800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00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685800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200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1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314450"/>
          <a:ext cx="6762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685800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200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685800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5200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314450"/>
          <a:ext cx="6762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0.9305</cdr:y>
    </cdr:from>
    <cdr:to>
      <cdr:x>0.92925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5372100"/>
          <a:ext cx="8553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Примечание: По некоторым муниципальным образованиям нет данных, размер платы за данную услугу включен в размер платы за содержание и текущий ремонт жилищного фонда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0" y="514350"/>
        <a:ext cx="96012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0.899</cdr:y>
    </cdr:from>
    <cdr:to>
      <cdr:x>0.908</cdr:x>
      <cdr:y>0.9695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219700"/>
          <a:ext cx="8553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Примечание: По некоторым муниципальным образованиям нет данных, размер платы за данную услугу включен в размер платы за содержание и текущий ремонт жилищного фонда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352425"/>
        <a:ext cx="95916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19050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0" y="352425"/>
        <a:ext cx="96202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14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381000"/>
        <a:ext cx="96107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9525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0" y="352425"/>
        <a:ext cx="96107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666750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0" y="514350"/>
        <a:ext cx="95821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0.8965</cdr:y>
    </cdr:from>
    <cdr:to>
      <cdr:x>0.99875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5750" y="5276850"/>
          <a:ext cx="92868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Примечание: По некоторым муниципальным образованиям нет данных, плата за данную услугу включена в плату за содержание и текущий ремонт жилищного фонда. В Сургуте с 01.06.2006 года плата за данную услугу установлена в рублях за квадратный метр общей площади жилого помещения.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0" y="352425"/>
        <a:ext cx="95916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0</xdr:col>
      <xdr:colOff>704850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71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0</xdr:col>
      <xdr:colOff>704850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171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0</xdr:col>
      <xdr:colOff>704850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171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0</xdr:col>
      <xdr:colOff>704850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171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581025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5629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581025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714375" y="5629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581025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714375" y="5629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581025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714375" y="5629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0</xdr:col>
      <xdr:colOff>704850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5629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0</xdr:col>
      <xdr:colOff>704850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5629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1162050"/>
          <a:ext cx="6953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0</xdr:col>
      <xdr:colOff>704850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5629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0</xdr:col>
      <xdr:colOff>704850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5629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1162050"/>
          <a:ext cx="6953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647700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95631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52425"/>
        <a:ext cx="96012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9525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52425"/>
        <a:ext cx="96107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95821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647700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0" y="352425"/>
        <a:ext cx="9563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0.93075</cdr:y>
    </cdr:from>
    <cdr:to>
      <cdr:x>0.92825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5219700"/>
          <a:ext cx="8553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Примечание: По некоторым муниципальным образованиям нет данных, размер платы за данную услугу включен в размер платы за содержание и текущий ремонт жилищного фонда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0.8995</cdr:y>
    </cdr:from>
    <cdr:to>
      <cdr:x>0.9075</cdr:x>
      <cdr:y>0.96875</cdr:y>
    </cdr:to>
    <cdr:sp>
      <cdr:nvSpPr>
        <cdr:cNvPr id="1" name="TextBox 2"/>
        <cdr:cNvSpPr txBox="1">
          <a:spLocks noChangeArrowheads="1"/>
        </cdr:cNvSpPr>
      </cdr:nvSpPr>
      <cdr:spPr>
        <a:xfrm>
          <a:off x="142875" y="5067300"/>
          <a:ext cx="8553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Примечание: По некоторым муниципальным образованиям нет данных, размер платы за данную услугу включен в размер платы за содержание и текущий ремонт жилищного фонда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0.90575</cdr:y>
    </cdr:from>
    <cdr:to>
      <cdr:x>0.89175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124450"/>
          <a:ext cx="85534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Примечание: По некоторым муниципальным образованиям нет данных, размер платы за данную услугу включен в размер платы за содержание и текущий ремонт жилищного фонда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0.889</cdr:y>
    </cdr:from>
    <cdr:to>
      <cdr:x>0.89175</cdr:x>
      <cdr:y>0.98325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029200"/>
          <a:ext cx="85534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Примечание: В Нефтеюганске  норматив потребления установлен  куб.м. на чел.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0.92575</cdr:y>
    </cdr:from>
    <cdr:to>
      <cdr:x>0.9065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5257800"/>
          <a:ext cx="8553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Примечание: По некоторым муниципальным образованиям нет данных, размер платы за данную услугу включен в размер платы за содержание и текущий ремонт жилищного фонда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685800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438275"/>
          <a:ext cx="676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685800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38275"/>
          <a:ext cx="676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685800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438275"/>
          <a:ext cx="676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0</xdr:col>
      <xdr:colOff>685800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581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0</xdr:col>
      <xdr:colOff>685800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581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438275"/>
          <a:ext cx="676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0.92575</cdr:y>
    </cdr:from>
    <cdr:to>
      <cdr:x>0.86675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5257800"/>
          <a:ext cx="8543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Примечание: По некоторым муниципальным образованиям нет данных, размер платы за данную услугу включен в размер платы за содержание и текущий ремонт жилищного фонда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0.90425</cdr:y>
    </cdr:from>
    <cdr:to>
      <cdr:x>0.9955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5162550"/>
          <a:ext cx="10039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Примечание: По некоторым муниципальным образованиям нет данных, плата за данную услугу включена в плату за содержание и текущий ремонт жилищного фонда. В Сургуте с 01.06.2006 года плата за данную услугу взимается с квадратного метра общей площади жилого помещения.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0" y="0"/>
        <a:ext cx="96107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142875</xdr:rowOff>
    </xdr:from>
    <xdr:to>
      <xdr:col>13</xdr:col>
      <xdr:colOff>676275</xdr:colOff>
      <xdr:row>63</xdr:row>
      <xdr:rowOff>76200</xdr:rowOff>
    </xdr:to>
    <xdr:graphicFrame>
      <xdr:nvGraphicFramePr>
        <xdr:cNvPr id="2" name="Chart 6"/>
        <xdr:cNvGraphicFramePr/>
      </xdr:nvGraphicFramePr>
      <xdr:xfrm>
        <a:off x="0" y="5819775"/>
        <a:ext cx="9591675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152400</xdr:rowOff>
    </xdr:from>
    <xdr:to>
      <xdr:col>13</xdr:col>
      <xdr:colOff>676275</xdr:colOff>
      <xdr:row>95</xdr:row>
      <xdr:rowOff>114300</xdr:rowOff>
    </xdr:to>
    <xdr:graphicFrame>
      <xdr:nvGraphicFramePr>
        <xdr:cNvPr id="3" name="Chart 7"/>
        <xdr:cNvGraphicFramePr/>
      </xdr:nvGraphicFramePr>
      <xdr:xfrm>
        <a:off x="0" y="11506200"/>
        <a:ext cx="9591675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95</xdr:row>
      <xdr:rowOff>152400</xdr:rowOff>
    </xdr:from>
    <xdr:to>
      <xdr:col>14</xdr:col>
      <xdr:colOff>9525</xdr:colOff>
      <xdr:row>127</xdr:row>
      <xdr:rowOff>104775</xdr:rowOff>
    </xdr:to>
    <xdr:graphicFrame>
      <xdr:nvGraphicFramePr>
        <xdr:cNvPr id="4" name="Chart 12"/>
        <xdr:cNvGraphicFramePr/>
      </xdr:nvGraphicFramePr>
      <xdr:xfrm>
        <a:off x="0" y="17183100"/>
        <a:ext cx="9610725" cy="579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14</xdr:col>
      <xdr:colOff>0</xdr:colOff>
      <xdr:row>159</xdr:row>
      <xdr:rowOff>123825</xdr:rowOff>
    </xdr:to>
    <xdr:graphicFrame>
      <xdr:nvGraphicFramePr>
        <xdr:cNvPr id="5" name="Chart 13"/>
        <xdr:cNvGraphicFramePr/>
      </xdr:nvGraphicFramePr>
      <xdr:xfrm>
        <a:off x="0" y="23031450"/>
        <a:ext cx="9601200" cy="580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159</xdr:row>
      <xdr:rowOff>152400</xdr:rowOff>
    </xdr:from>
    <xdr:to>
      <xdr:col>14</xdr:col>
      <xdr:colOff>0</xdr:colOff>
      <xdr:row>192</xdr:row>
      <xdr:rowOff>0</xdr:rowOff>
    </xdr:to>
    <xdr:graphicFrame>
      <xdr:nvGraphicFramePr>
        <xdr:cNvPr id="6" name="Chart 14"/>
        <xdr:cNvGraphicFramePr/>
      </xdr:nvGraphicFramePr>
      <xdr:xfrm>
        <a:off x="0" y="28860750"/>
        <a:ext cx="9601200" cy="584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63</xdr:row>
      <xdr:rowOff>142875</xdr:rowOff>
    </xdr:from>
    <xdr:to>
      <xdr:col>27</xdr:col>
      <xdr:colOff>676275</xdr:colOff>
      <xdr:row>95</xdr:row>
      <xdr:rowOff>123825</xdr:rowOff>
    </xdr:to>
    <xdr:graphicFrame>
      <xdr:nvGraphicFramePr>
        <xdr:cNvPr id="7" name="Chart 15"/>
        <xdr:cNvGraphicFramePr/>
      </xdr:nvGraphicFramePr>
      <xdr:xfrm>
        <a:off x="9601200" y="11496675"/>
        <a:ext cx="9591675" cy="565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19050</xdr:colOff>
      <xdr:row>95</xdr:row>
      <xdr:rowOff>142875</xdr:rowOff>
    </xdr:from>
    <xdr:to>
      <xdr:col>28</xdr:col>
      <xdr:colOff>9525</xdr:colOff>
      <xdr:row>128</xdr:row>
      <xdr:rowOff>38100</xdr:rowOff>
    </xdr:to>
    <xdr:graphicFrame>
      <xdr:nvGraphicFramePr>
        <xdr:cNvPr id="8" name="Chart 16"/>
        <xdr:cNvGraphicFramePr/>
      </xdr:nvGraphicFramePr>
      <xdr:xfrm>
        <a:off x="9620250" y="17173575"/>
        <a:ext cx="9591675" cy="589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19050</xdr:colOff>
      <xdr:row>127</xdr:row>
      <xdr:rowOff>142875</xdr:rowOff>
    </xdr:from>
    <xdr:to>
      <xdr:col>28</xdr:col>
      <xdr:colOff>66675</xdr:colOff>
      <xdr:row>159</xdr:row>
      <xdr:rowOff>114300</xdr:rowOff>
    </xdr:to>
    <xdr:graphicFrame>
      <xdr:nvGraphicFramePr>
        <xdr:cNvPr id="9" name="Chart 17"/>
        <xdr:cNvGraphicFramePr/>
      </xdr:nvGraphicFramePr>
      <xdr:xfrm>
        <a:off x="9620250" y="23012400"/>
        <a:ext cx="9648825" cy="5810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159</xdr:row>
      <xdr:rowOff>142875</xdr:rowOff>
    </xdr:from>
    <xdr:to>
      <xdr:col>27</xdr:col>
      <xdr:colOff>657225</xdr:colOff>
      <xdr:row>191</xdr:row>
      <xdr:rowOff>123825</xdr:rowOff>
    </xdr:to>
    <xdr:graphicFrame>
      <xdr:nvGraphicFramePr>
        <xdr:cNvPr id="10" name="Chart 18"/>
        <xdr:cNvGraphicFramePr/>
      </xdr:nvGraphicFramePr>
      <xdr:xfrm>
        <a:off x="9601200" y="28851225"/>
        <a:ext cx="9572625" cy="581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191</xdr:row>
      <xdr:rowOff>142875</xdr:rowOff>
    </xdr:from>
    <xdr:to>
      <xdr:col>27</xdr:col>
      <xdr:colOff>676275</xdr:colOff>
      <xdr:row>223</xdr:row>
      <xdr:rowOff>123825</xdr:rowOff>
    </xdr:to>
    <xdr:graphicFrame>
      <xdr:nvGraphicFramePr>
        <xdr:cNvPr id="11" name="Chart 19"/>
        <xdr:cNvGraphicFramePr/>
      </xdr:nvGraphicFramePr>
      <xdr:xfrm>
        <a:off x="9601200" y="34690050"/>
        <a:ext cx="9591675" cy="5657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666750</xdr:colOff>
      <xdr:row>0</xdr:row>
      <xdr:rowOff>9525</xdr:rowOff>
    </xdr:from>
    <xdr:to>
      <xdr:col>42</xdr:col>
      <xdr:colOff>0</xdr:colOff>
      <xdr:row>31</xdr:row>
      <xdr:rowOff>142875</xdr:rowOff>
    </xdr:to>
    <xdr:graphicFrame>
      <xdr:nvGraphicFramePr>
        <xdr:cNvPr id="12" name="Chart 20"/>
        <xdr:cNvGraphicFramePr/>
      </xdr:nvGraphicFramePr>
      <xdr:xfrm>
        <a:off x="19183350" y="9525"/>
        <a:ext cx="9620250" cy="581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666750</xdr:colOff>
      <xdr:row>31</xdr:row>
      <xdr:rowOff>152400</xdr:rowOff>
    </xdr:from>
    <xdr:to>
      <xdr:col>42</xdr:col>
      <xdr:colOff>0</xdr:colOff>
      <xdr:row>64</xdr:row>
      <xdr:rowOff>0</xdr:rowOff>
    </xdr:to>
    <xdr:graphicFrame>
      <xdr:nvGraphicFramePr>
        <xdr:cNvPr id="13" name="Chart 21"/>
        <xdr:cNvGraphicFramePr/>
      </xdr:nvGraphicFramePr>
      <xdr:xfrm>
        <a:off x="19183350" y="5829300"/>
        <a:ext cx="9620250" cy="5686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27</xdr:col>
      <xdr:colOff>666750</xdr:colOff>
      <xdr:row>64</xdr:row>
      <xdr:rowOff>9525</xdr:rowOff>
    </xdr:from>
    <xdr:to>
      <xdr:col>42</xdr:col>
      <xdr:colOff>428625</xdr:colOff>
      <xdr:row>96</xdr:row>
      <xdr:rowOff>19050</xdr:rowOff>
    </xdr:to>
    <xdr:graphicFrame>
      <xdr:nvGraphicFramePr>
        <xdr:cNvPr id="14" name="Chart 22"/>
        <xdr:cNvGraphicFramePr/>
      </xdr:nvGraphicFramePr>
      <xdr:xfrm>
        <a:off x="19183350" y="11525250"/>
        <a:ext cx="10048875" cy="568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27</xdr:col>
      <xdr:colOff>666750</xdr:colOff>
      <xdr:row>97</xdr:row>
      <xdr:rowOff>276225</xdr:rowOff>
    </xdr:from>
    <xdr:to>
      <xdr:col>42</xdr:col>
      <xdr:colOff>0</xdr:colOff>
      <xdr:row>127</xdr:row>
      <xdr:rowOff>142875</xdr:rowOff>
    </xdr:to>
    <xdr:graphicFrame>
      <xdr:nvGraphicFramePr>
        <xdr:cNvPr id="15" name="Chart 23"/>
        <xdr:cNvGraphicFramePr/>
      </xdr:nvGraphicFramePr>
      <xdr:xfrm>
        <a:off x="19183350" y="17630775"/>
        <a:ext cx="9620250" cy="5381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27</xdr:col>
      <xdr:colOff>666750</xdr:colOff>
      <xdr:row>127</xdr:row>
      <xdr:rowOff>152400</xdr:rowOff>
    </xdr:from>
    <xdr:to>
      <xdr:col>41</xdr:col>
      <xdr:colOff>676275</xdr:colOff>
      <xdr:row>160</xdr:row>
      <xdr:rowOff>0</xdr:rowOff>
    </xdr:to>
    <xdr:graphicFrame>
      <xdr:nvGraphicFramePr>
        <xdr:cNvPr id="16" name="Chart 24"/>
        <xdr:cNvGraphicFramePr/>
      </xdr:nvGraphicFramePr>
      <xdr:xfrm>
        <a:off x="19183350" y="23021925"/>
        <a:ext cx="9610725" cy="5848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666750</xdr:colOff>
      <xdr:row>159</xdr:row>
      <xdr:rowOff>152400</xdr:rowOff>
    </xdr:from>
    <xdr:to>
      <xdr:col>42</xdr:col>
      <xdr:colOff>19050</xdr:colOff>
      <xdr:row>192</xdr:row>
      <xdr:rowOff>0</xdr:rowOff>
    </xdr:to>
    <xdr:graphicFrame>
      <xdr:nvGraphicFramePr>
        <xdr:cNvPr id="17" name="Chart 25"/>
        <xdr:cNvGraphicFramePr/>
      </xdr:nvGraphicFramePr>
      <xdr:xfrm>
        <a:off x="19183350" y="28860750"/>
        <a:ext cx="9639300" cy="5848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28</xdr:col>
      <xdr:colOff>0</xdr:colOff>
      <xdr:row>192</xdr:row>
      <xdr:rowOff>0</xdr:rowOff>
    </xdr:from>
    <xdr:to>
      <xdr:col>42</xdr:col>
      <xdr:colOff>9525</xdr:colOff>
      <xdr:row>224</xdr:row>
      <xdr:rowOff>0</xdr:rowOff>
    </xdr:to>
    <xdr:graphicFrame>
      <xdr:nvGraphicFramePr>
        <xdr:cNvPr id="18" name="Chart 26"/>
        <xdr:cNvGraphicFramePr/>
      </xdr:nvGraphicFramePr>
      <xdr:xfrm>
        <a:off x="19202400" y="34709100"/>
        <a:ext cx="96107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42</xdr:col>
      <xdr:colOff>28575</xdr:colOff>
      <xdr:row>0</xdr:row>
      <xdr:rowOff>9525</xdr:rowOff>
    </xdr:from>
    <xdr:to>
      <xdr:col>56</xdr:col>
      <xdr:colOff>0</xdr:colOff>
      <xdr:row>31</xdr:row>
      <xdr:rowOff>142875</xdr:rowOff>
    </xdr:to>
    <xdr:graphicFrame>
      <xdr:nvGraphicFramePr>
        <xdr:cNvPr id="19" name="Chart 27"/>
        <xdr:cNvGraphicFramePr/>
      </xdr:nvGraphicFramePr>
      <xdr:xfrm>
        <a:off x="28832175" y="9525"/>
        <a:ext cx="9572625" cy="5810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40</xdr:col>
      <xdr:colOff>590550</xdr:colOff>
      <xdr:row>63</xdr:row>
      <xdr:rowOff>152400</xdr:rowOff>
    </xdr:from>
    <xdr:to>
      <xdr:col>55</xdr:col>
      <xdr:colOff>495300</xdr:colOff>
      <xdr:row>96</xdr:row>
      <xdr:rowOff>28575</xdr:rowOff>
    </xdr:to>
    <xdr:graphicFrame>
      <xdr:nvGraphicFramePr>
        <xdr:cNvPr id="20" name="Chart 28"/>
        <xdr:cNvGraphicFramePr/>
      </xdr:nvGraphicFramePr>
      <xdr:xfrm>
        <a:off x="28022550" y="11506200"/>
        <a:ext cx="10191750" cy="5715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42</xdr:col>
      <xdr:colOff>28575</xdr:colOff>
      <xdr:row>96</xdr:row>
      <xdr:rowOff>9525</xdr:rowOff>
    </xdr:from>
    <xdr:to>
      <xdr:col>55</xdr:col>
      <xdr:colOff>666750</xdr:colOff>
      <xdr:row>128</xdr:row>
      <xdr:rowOff>0</xdr:rowOff>
    </xdr:to>
    <xdr:graphicFrame>
      <xdr:nvGraphicFramePr>
        <xdr:cNvPr id="21" name="Chart 29"/>
        <xdr:cNvGraphicFramePr/>
      </xdr:nvGraphicFramePr>
      <xdr:xfrm>
        <a:off x="28832175" y="17202150"/>
        <a:ext cx="9553575" cy="5829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42</xdr:col>
      <xdr:colOff>0</xdr:colOff>
      <xdr:row>128</xdr:row>
      <xdr:rowOff>0</xdr:rowOff>
    </xdr:from>
    <xdr:to>
      <xdr:col>55</xdr:col>
      <xdr:colOff>676275</xdr:colOff>
      <xdr:row>159</xdr:row>
      <xdr:rowOff>142875</xdr:rowOff>
    </xdr:to>
    <xdr:graphicFrame>
      <xdr:nvGraphicFramePr>
        <xdr:cNvPr id="22" name="Chart 30"/>
        <xdr:cNvGraphicFramePr/>
      </xdr:nvGraphicFramePr>
      <xdr:xfrm>
        <a:off x="28803600" y="23031450"/>
        <a:ext cx="9591675" cy="5819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42</xdr:col>
      <xdr:colOff>0</xdr:colOff>
      <xdr:row>160</xdr:row>
      <xdr:rowOff>0</xdr:rowOff>
    </xdr:from>
    <xdr:to>
      <xdr:col>56</xdr:col>
      <xdr:colOff>0</xdr:colOff>
      <xdr:row>191</xdr:row>
      <xdr:rowOff>142875</xdr:rowOff>
    </xdr:to>
    <xdr:graphicFrame>
      <xdr:nvGraphicFramePr>
        <xdr:cNvPr id="23" name="Chart 31"/>
        <xdr:cNvGraphicFramePr/>
      </xdr:nvGraphicFramePr>
      <xdr:xfrm>
        <a:off x="28803600" y="28870275"/>
        <a:ext cx="9601200" cy="58197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42</xdr:col>
      <xdr:colOff>19050</xdr:colOff>
      <xdr:row>191</xdr:row>
      <xdr:rowOff>152400</xdr:rowOff>
    </xdr:from>
    <xdr:to>
      <xdr:col>55</xdr:col>
      <xdr:colOff>676275</xdr:colOff>
      <xdr:row>223</xdr:row>
      <xdr:rowOff>142875</xdr:rowOff>
    </xdr:to>
    <xdr:graphicFrame>
      <xdr:nvGraphicFramePr>
        <xdr:cNvPr id="24" name="Chart 32"/>
        <xdr:cNvGraphicFramePr/>
      </xdr:nvGraphicFramePr>
      <xdr:xfrm>
        <a:off x="28822650" y="34699575"/>
        <a:ext cx="9572625" cy="56673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56</xdr:col>
      <xdr:colOff>28575</xdr:colOff>
      <xdr:row>0</xdr:row>
      <xdr:rowOff>0</xdr:rowOff>
    </xdr:from>
    <xdr:to>
      <xdr:col>70</xdr:col>
      <xdr:colOff>0</xdr:colOff>
      <xdr:row>32</xdr:row>
      <xdr:rowOff>28575</xdr:rowOff>
    </xdr:to>
    <xdr:graphicFrame>
      <xdr:nvGraphicFramePr>
        <xdr:cNvPr id="25" name="Chart 33"/>
        <xdr:cNvGraphicFramePr/>
      </xdr:nvGraphicFramePr>
      <xdr:xfrm>
        <a:off x="38433375" y="0"/>
        <a:ext cx="9572625" cy="5867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0</xdr:col>
      <xdr:colOff>685800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6762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685800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19175"/>
          <a:ext cx="6762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685800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019175"/>
          <a:ext cx="6762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685800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953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685800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953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019175"/>
          <a:ext cx="6762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685800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5286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685800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5286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685800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5286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685800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5286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685800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5286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5286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867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67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085850"/>
          <a:ext cx="92392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067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0</xdr:col>
      <xdr:colOff>685800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05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685800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105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600200"/>
          <a:ext cx="67627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0</xdr:col>
      <xdr:colOff>685800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95400"/>
          <a:ext cx="6762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676275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200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676275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200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295400"/>
          <a:ext cx="6762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676275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5200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676275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5200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0</xdr:col>
      <xdr:colOff>685800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38250"/>
          <a:ext cx="6762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676275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48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676275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048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685800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238250"/>
          <a:ext cx="6762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676275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5048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676275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5048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685800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53911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53911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53911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685800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53911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53911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53911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19050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514350"/>
        <a:ext cx="96202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5">
      <selection activeCell="K11" sqref="K11"/>
    </sheetView>
  </sheetViews>
  <sheetFormatPr defaultColWidth="9.00390625" defaultRowHeight="12.75"/>
  <cols>
    <col min="2" max="2" width="9.375" style="0" customWidth="1"/>
    <col min="3" max="3" width="10.25390625" style="0" customWidth="1"/>
    <col min="6" max="6" width="11.75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40" t="s">
        <v>34</v>
      </c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64" t="s">
        <v>247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3" ht="19.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3" ht="1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 ht="15.75" thickBot="1">
      <c r="A7" s="149" t="s">
        <v>171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 ht="25.5">
      <c r="A8" s="141" t="s">
        <v>0</v>
      </c>
      <c r="B8" s="265" t="s">
        <v>1</v>
      </c>
      <c r="C8" s="265"/>
      <c r="D8" s="265"/>
      <c r="E8" s="266"/>
      <c r="F8" s="269" t="s">
        <v>57</v>
      </c>
      <c r="G8" s="270"/>
      <c r="H8" s="270"/>
      <c r="I8" s="271"/>
      <c r="J8" s="275" t="s">
        <v>54</v>
      </c>
      <c r="K8" s="276"/>
      <c r="L8" s="276"/>
      <c r="M8" s="277"/>
    </row>
    <row r="9" spans="1:13" ht="12.75">
      <c r="A9" s="281" t="s">
        <v>4</v>
      </c>
      <c r="B9" s="267"/>
      <c r="C9" s="267"/>
      <c r="D9" s="267"/>
      <c r="E9" s="268"/>
      <c r="F9" s="272"/>
      <c r="G9" s="273"/>
      <c r="H9" s="273"/>
      <c r="I9" s="274"/>
      <c r="J9" s="278"/>
      <c r="K9" s="279"/>
      <c r="L9" s="279"/>
      <c r="M9" s="280"/>
    </row>
    <row r="10" spans="1:13" ht="63.75">
      <c r="A10" s="282"/>
      <c r="B10" s="126" t="s">
        <v>155</v>
      </c>
      <c r="C10" s="126" t="s">
        <v>190</v>
      </c>
      <c r="D10" s="2" t="s">
        <v>55</v>
      </c>
      <c r="E10" s="15" t="s">
        <v>279</v>
      </c>
      <c r="F10" s="126" t="s">
        <v>277</v>
      </c>
      <c r="G10" s="126" t="s">
        <v>278</v>
      </c>
      <c r="H10" s="2" t="s">
        <v>55</v>
      </c>
      <c r="I10" s="15" t="s">
        <v>150</v>
      </c>
      <c r="J10" s="126" t="s">
        <v>331</v>
      </c>
      <c r="K10" s="126" t="s">
        <v>332</v>
      </c>
      <c r="L10" s="31" t="s">
        <v>5</v>
      </c>
      <c r="M10" s="32" t="s">
        <v>283</v>
      </c>
    </row>
    <row r="11" spans="1:13" ht="12.75">
      <c r="A11" s="21">
        <v>1</v>
      </c>
      <c r="B11" s="104">
        <v>2</v>
      </c>
      <c r="C11" s="3">
        <v>3</v>
      </c>
      <c r="D11" s="3">
        <v>4</v>
      </c>
      <c r="E11" s="16">
        <v>5</v>
      </c>
      <c r="F11" s="136">
        <v>6</v>
      </c>
      <c r="G11" s="33">
        <v>7</v>
      </c>
      <c r="H11" s="33">
        <v>8</v>
      </c>
      <c r="I11" s="34">
        <v>9</v>
      </c>
      <c r="J11" s="121">
        <v>10</v>
      </c>
      <c r="K11" s="65">
        <v>11</v>
      </c>
      <c r="L11" s="65">
        <v>12</v>
      </c>
      <c r="M11" s="66">
        <v>13</v>
      </c>
    </row>
    <row r="12" spans="1:13" ht="25.5">
      <c r="A12" s="106" t="s">
        <v>6</v>
      </c>
      <c r="B12" s="111" t="s">
        <v>64</v>
      </c>
      <c r="C12" s="147" t="s">
        <v>193</v>
      </c>
      <c r="D12" s="112">
        <f>(15.72/13.05)*100</f>
        <v>120.45977011494253</v>
      </c>
      <c r="E12" s="113">
        <f>15.72-13.05</f>
        <v>2.67</v>
      </c>
      <c r="F12" s="142" t="s">
        <v>194</v>
      </c>
      <c r="G12" s="147" t="s">
        <v>200</v>
      </c>
      <c r="H12" s="85">
        <f>11973.61/10594.04*100</f>
        <v>113.02213319942156</v>
      </c>
      <c r="I12" s="86">
        <f>11973.61-10594.04</f>
        <v>1379.5699999999997</v>
      </c>
      <c r="J12" s="128" t="s">
        <v>67</v>
      </c>
      <c r="K12" s="147" t="s">
        <v>202</v>
      </c>
      <c r="L12" s="70">
        <f>(155.26/160.83)*100</f>
        <v>96.53671578685568</v>
      </c>
      <c r="M12" s="71">
        <f>155.26-160.83</f>
        <v>-5.570000000000022</v>
      </c>
    </row>
    <row r="13" spans="1:13" ht="25.5">
      <c r="A13" s="22" t="s">
        <v>7</v>
      </c>
      <c r="B13" s="4" t="s">
        <v>100</v>
      </c>
      <c r="C13" s="147" t="s">
        <v>100</v>
      </c>
      <c r="D13" s="114">
        <f>18.79/18.79*100</f>
        <v>100</v>
      </c>
      <c r="E13" s="115">
        <f>18.79-18.79</f>
        <v>0</v>
      </c>
      <c r="F13" s="139" t="s">
        <v>195</v>
      </c>
      <c r="G13" s="128" t="s">
        <v>199</v>
      </c>
      <c r="H13" s="24">
        <v>100</v>
      </c>
      <c r="I13" s="25">
        <v>0</v>
      </c>
      <c r="J13" s="128" t="s">
        <v>134</v>
      </c>
      <c r="K13" s="147" t="s">
        <v>201</v>
      </c>
      <c r="L13" s="70">
        <v>100</v>
      </c>
      <c r="M13" s="71">
        <v>0</v>
      </c>
    </row>
    <row r="14" spans="1:13" ht="25.5">
      <c r="A14" s="22" t="s">
        <v>8</v>
      </c>
      <c r="B14" s="111" t="s">
        <v>99</v>
      </c>
      <c r="C14" s="147" t="s">
        <v>99</v>
      </c>
      <c r="D14" s="112">
        <v>100</v>
      </c>
      <c r="E14" s="113">
        <v>0</v>
      </c>
      <c r="F14" s="139" t="s">
        <v>56</v>
      </c>
      <c r="G14" s="147" t="s">
        <v>56</v>
      </c>
      <c r="H14" s="4" t="s">
        <v>56</v>
      </c>
      <c r="I14" s="137" t="s">
        <v>56</v>
      </c>
      <c r="J14" s="128" t="s">
        <v>65</v>
      </c>
      <c r="K14" s="147" t="s">
        <v>204</v>
      </c>
      <c r="L14" s="70">
        <v>100</v>
      </c>
      <c r="M14" s="71">
        <v>0</v>
      </c>
    </row>
    <row r="15" spans="1:13" ht="38.25">
      <c r="A15" s="22" t="s">
        <v>9</v>
      </c>
      <c r="B15" s="4" t="s">
        <v>97</v>
      </c>
      <c r="C15" s="147" t="s">
        <v>97</v>
      </c>
      <c r="D15" s="114">
        <v>100</v>
      </c>
      <c r="E15" s="115">
        <v>0</v>
      </c>
      <c r="F15" s="139" t="s">
        <v>56</v>
      </c>
      <c r="G15" s="147" t="s">
        <v>56</v>
      </c>
      <c r="H15" s="4" t="s">
        <v>56</v>
      </c>
      <c r="I15" s="137" t="s">
        <v>56</v>
      </c>
      <c r="J15" s="128" t="s">
        <v>68</v>
      </c>
      <c r="K15" s="147" t="s">
        <v>56</v>
      </c>
      <c r="L15" s="70" t="s">
        <v>56</v>
      </c>
      <c r="M15" s="71" t="s">
        <v>56</v>
      </c>
    </row>
    <row r="16" spans="1:13" ht="25.5">
      <c r="A16" s="22" t="s">
        <v>10</v>
      </c>
      <c r="B16" s="4" t="s">
        <v>96</v>
      </c>
      <c r="C16" s="147" t="s">
        <v>96</v>
      </c>
      <c r="D16" s="40">
        <v>100</v>
      </c>
      <c r="E16" s="52">
        <v>0</v>
      </c>
      <c r="F16" s="118" t="s">
        <v>196</v>
      </c>
      <c r="G16" s="147" t="s">
        <v>196</v>
      </c>
      <c r="H16" s="35">
        <v>100</v>
      </c>
      <c r="I16" s="36">
        <v>0</v>
      </c>
      <c r="J16" s="147" t="s">
        <v>56</v>
      </c>
      <c r="K16" s="147" t="s">
        <v>56</v>
      </c>
      <c r="L16" s="70" t="s">
        <v>56</v>
      </c>
      <c r="M16" s="71" t="s">
        <v>56</v>
      </c>
    </row>
    <row r="17" spans="1:13" ht="25.5">
      <c r="A17" s="22" t="s">
        <v>11</v>
      </c>
      <c r="B17" s="4" t="s">
        <v>102</v>
      </c>
      <c r="C17" s="147" t="s">
        <v>191</v>
      </c>
      <c r="D17" s="40">
        <v>100</v>
      </c>
      <c r="E17" s="52">
        <v>0</v>
      </c>
      <c r="F17" s="118" t="s">
        <v>197</v>
      </c>
      <c r="G17" s="128" t="s">
        <v>197</v>
      </c>
      <c r="H17" s="35">
        <v>100</v>
      </c>
      <c r="I17" s="36">
        <v>0</v>
      </c>
      <c r="J17" s="128" t="s">
        <v>132</v>
      </c>
      <c r="K17" s="128" t="s">
        <v>206</v>
      </c>
      <c r="L17" s="70">
        <v>100</v>
      </c>
      <c r="M17" s="71">
        <v>0</v>
      </c>
    </row>
    <row r="18" spans="1:13" ht="25.5">
      <c r="A18" s="22" t="s">
        <v>12</v>
      </c>
      <c r="B18" s="28" t="s">
        <v>101</v>
      </c>
      <c r="C18" s="147" t="s">
        <v>192</v>
      </c>
      <c r="D18" s="40">
        <v>100</v>
      </c>
      <c r="E18" s="52">
        <v>0</v>
      </c>
      <c r="F18" s="118" t="s">
        <v>56</v>
      </c>
      <c r="G18" s="147" t="s">
        <v>56</v>
      </c>
      <c r="H18" s="28" t="s">
        <v>56</v>
      </c>
      <c r="I18" s="91" t="s">
        <v>56</v>
      </c>
      <c r="J18" s="129" t="s">
        <v>133</v>
      </c>
      <c r="K18" s="147" t="s">
        <v>205</v>
      </c>
      <c r="L18" s="70">
        <v>100</v>
      </c>
      <c r="M18" s="71">
        <v>0</v>
      </c>
    </row>
    <row r="19" spans="1:13" ht="26.25" thickBot="1">
      <c r="A19" s="23" t="s">
        <v>13</v>
      </c>
      <c r="B19" s="140" t="s">
        <v>98</v>
      </c>
      <c r="C19" s="17" t="s">
        <v>98</v>
      </c>
      <c r="D19" s="53">
        <f>19.22/19.22*100</f>
        <v>100</v>
      </c>
      <c r="E19" s="54">
        <f>19.22-19.22</f>
        <v>0</v>
      </c>
      <c r="F19" s="119" t="s">
        <v>198</v>
      </c>
      <c r="G19" s="148" t="s">
        <v>198</v>
      </c>
      <c r="H19" s="38">
        <v>100</v>
      </c>
      <c r="I19" s="39">
        <v>0</v>
      </c>
      <c r="J19" s="130" t="s">
        <v>66</v>
      </c>
      <c r="K19" s="148" t="s">
        <v>203</v>
      </c>
      <c r="L19" s="72">
        <v>100</v>
      </c>
      <c r="M19" s="73">
        <v>0</v>
      </c>
    </row>
  </sheetData>
  <mergeCells count="5">
    <mergeCell ref="A4:M5"/>
    <mergeCell ref="B8:E9"/>
    <mergeCell ref="F8:I9"/>
    <mergeCell ref="J8:M9"/>
    <mergeCell ref="A9:A10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M2:N2"/>
  <sheetViews>
    <sheetView workbookViewId="0" topLeftCell="A2">
      <selection activeCell="O16" sqref="O16"/>
    </sheetView>
  </sheetViews>
  <sheetFormatPr defaultColWidth="9.00390625" defaultRowHeight="12.75"/>
  <sheetData>
    <row r="2" spans="13:14" ht="15">
      <c r="M2" s="322" t="s">
        <v>314</v>
      </c>
      <c r="N2" s="322"/>
    </row>
  </sheetData>
  <mergeCells count="1">
    <mergeCell ref="M2:N2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M2:N2"/>
  <sheetViews>
    <sheetView workbookViewId="0" topLeftCell="A9">
      <selection activeCell="O13" sqref="O13"/>
    </sheetView>
  </sheetViews>
  <sheetFormatPr defaultColWidth="9.00390625" defaultRowHeight="12.75"/>
  <sheetData>
    <row r="2" spans="13:14" ht="15">
      <c r="M2" s="322" t="s">
        <v>315</v>
      </c>
      <c r="N2" s="322"/>
    </row>
  </sheetData>
  <mergeCells count="1">
    <mergeCell ref="M2:N2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M1:N1"/>
  <sheetViews>
    <sheetView workbookViewId="0" topLeftCell="A8">
      <selection activeCell="O12" sqref="O12"/>
    </sheetView>
  </sheetViews>
  <sheetFormatPr defaultColWidth="9.00390625" defaultRowHeight="12.75"/>
  <sheetData>
    <row r="1" spans="13:14" ht="15">
      <c r="M1" s="322" t="s">
        <v>316</v>
      </c>
      <c r="N1" s="322"/>
    </row>
  </sheetData>
  <mergeCells count="1">
    <mergeCell ref="M1:N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M1:N1"/>
  <sheetViews>
    <sheetView workbookViewId="0" topLeftCell="A8">
      <selection activeCell="O14" sqref="O14"/>
    </sheetView>
  </sheetViews>
  <sheetFormatPr defaultColWidth="9.00390625" defaultRowHeight="12.75"/>
  <sheetData>
    <row r="1" spans="13:14" ht="15">
      <c r="M1" s="323" t="s">
        <v>317</v>
      </c>
      <c r="N1" s="323"/>
    </row>
  </sheetData>
  <mergeCells count="1">
    <mergeCell ref="M1:N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M1:N1"/>
  <sheetViews>
    <sheetView workbookViewId="0" topLeftCell="A9">
      <selection activeCell="O14" sqref="O14"/>
    </sheetView>
  </sheetViews>
  <sheetFormatPr defaultColWidth="9.00390625" defaultRowHeight="12.75"/>
  <sheetData>
    <row r="1" spans="13:14" ht="15">
      <c r="M1" s="322" t="s">
        <v>318</v>
      </c>
      <c r="N1" s="322"/>
    </row>
  </sheetData>
  <mergeCells count="1">
    <mergeCell ref="M1:N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M1:N1"/>
  <sheetViews>
    <sheetView workbookViewId="0" topLeftCell="A1">
      <selection activeCell="O6" sqref="O6"/>
    </sheetView>
  </sheetViews>
  <sheetFormatPr defaultColWidth="9.00390625" defaultRowHeight="12.75"/>
  <sheetData>
    <row r="1" spans="13:14" ht="15">
      <c r="M1" s="322" t="s">
        <v>319</v>
      </c>
      <c r="N1" s="322"/>
    </row>
  </sheetData>
  <mergeCells count="1">
    <mergeCell ref="M1:N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M1:N1"/>
  <sheetViews>
    <sheetView workbookViewId="0" topLeftCell="A9">
      <selection activeCell="O14" sqref="O14"/>
    </sheetView>
  </sheetViews>
  <sheetFormatPr defaultColWidth="9.00390625" defaultRowHeight="12.75"/>
  <sheetData>
    <row r="1" spans="13:14" ht="15">
      <c r="M1" s="322" t="s">
        <v>320</v>
      </c>
      <c r="N1" s="322"/>
    </row>
  </sheetData>
  <mergeCells count="1">
    <mergeCell ref="M1:N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M1:N1"/>
  <sheetViews>
    <sheetView workbookViewId="0" topLeftCell="A3">
      <selection activeCell="O9" sqref="O9"/>
    </sheetView>
  </sheetViews>
  <sheetFormatPr defaultColWidth="9.00390625" defaultRowHeight="12.75"/>
  <sheetData>
    <row r="1" spans="13:14" ht="15">
      <c r="M1" s="322" t="s">
        <v>328</v>
      </c>
      <c r="N1" s="322"/>
    </row>
  </sheetData>
  <mergeCells count="1">
    <mergeCell ref="M1:N1"/>
  </mergeCells>
  <printOptions/>
  <pageMargins left="0.87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M1:N1"/>
  <sheetViews>
    <sheetView workbookViewId="0" topLeftCell="A9">
      <selection activeCell="O3" sqref="O3"/>
    </sheetView>
  </sheetViews>
  <sheetFormatPr defaultColWidth="9.00390625" defaultRowHeight="12.75"/>
  <sheetData>
    <row r="1" spans="13:14" ht="15">
      <c r="M1" s="322" t="s">
        <v>321</v>
      </c>
      <c r="N1" s="322"/>
    </row>
  </sheetData>
  <mergeCells count="1">
    <mergeCell ref="M1:N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M1:N1"/>
  <sheetViews>
    <sheetView workbookViewId="0" topLeftCell="A1">
      <selection activeCell="O5" sqref="O5"/>
    </sheetView>
  </sheetViews>
  <sheetFormatPr defaultColWidth="9.00390625" defaultRowHeight="12.75"/>
  <sheetData>
    <row r="1" spans="13:14" ht="15">
      <c r="M1" s="323" t="s">
        <v>322</v>
      </c>
      <c r="N1" s="323"/>
    </row>
  </sheetData>
  <mergeCells count="1">
    <mergeCell ref="M1:N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8">
      <selection activeCell="B15" sqref="B15"/>
    </sheetView>
  </sheetViews>
  <sheetFormatPr defaultColWidth="9.00390625" defaultRowHeight="12.75"/>
  <cols>
    <col min="1" max="1" width="9.25390625" style="0" customWidth="1"/>
    <col min="2" max="3" width="7.625" style="0" customWidth="1"/>
    <col min="4" max="4" width="6.125" style="0" customWidth="1"/>
    <col min="5" max="5" width="7.25390625" style="0" customWidth="1"/>
    <col min="8" max="8" width="6.00390625" style="0" customWidth="1"/>
    <col min="9" max="9" width="7.00390625" style="0" customWidth="1"/>
    <col min="10" max="10" width="9.00390625" style="0" customWidth="1"/>
    <col min="12" max="12" width="6.00390625" style="0" customWidth="1"/>
    <col min="13" max="13" width="7.00390625" style="0" customWidth="1"/>
    <col min="15" max="15" width="9.00390625" style="0" customWidth="1"/>
    <col min="16" max="16" width="6.375" style="0" customWidth="1"/>
    <col min="17" max="17" width="6.875" style="0" customWidth="1"/>
  </cols>
  <sheetData>
    <row r="1" spans="1:29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240" t="s">
        <v>35</v>
      </c>
      <c r="Q1" s="97"/>
      <c r="R1" s="49"/>
      <c r="S1" s="49"/>
      <c r="T1" s="96"/>
      <c r="U1" s="97"/>
      <c r="V1" s="49"/>
      <c r="W1" s="49"/>
      <c r="X1" s="96"/>
      <c r="Y1" s="97"/>
      <c r="Z1" s="49"/>
      <c r="AA1" s="49"/>
      <c r="AB1" s="96"/>
      <c r="AC1" s="97"/>
    </row>
    <row r="2" spans="1:2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9"/>
      <c r="O2" s="49"/>
      <c r="P2" s="1"/>
      <c r="Q2" s="97"/>
      <c r="R2" s="49"/>
      <c r="S2" s="49"/>
      <c r="T2" s="96"/>
      <c r="U2" s="97"/>
      <c r="V2" s="49"/>
      <c r="W2" s="49"/>
      <c r="X2" s="96"/>
      <c r="Y2" s="97"/>
      <c r="Z2" s="49"/>
      <c r="AA2" s="49"/>
      <c r="AB2" s="96"/>
      <c r="AC2" s="97"/>
    </row>
    <row r="3" spans="1:29" ht="12.75" customHeight="1">
      <c r="A3" s="264" t="s">
        <v>248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</row>
    <row r="4" spans="1:29" ht="22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</row>
    <row r="5" spans="1:29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</row>
    <row r="6" spans="1:2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1:29" ht="51" customHeight="1">
      <c r="A7" s="141" t="s">
        <v>0</v>
      </c>
      <c r="B7" s="290" t="s">
        <v>33</v>
      </c>
      <c r="C7" s="265"/>
      <c r="D7" s="265"/>
      <c r="E7" s="266"/>
      <c r="F7" s="290" t="s">
        <v>61</v>
      </c>
      <c r="G7" s="265"/>
      <c r="H7" s="265"/>
      <c r="I7" s="266"/>
      <c r="J7" s="258" t="s">
        <v>3</v>
      </c>
      <c r="K7" s="259"/>
      <c r="L7" s="259"/>
      <c r="M7" s="260"/>
      <c r="N7" s="284" t="s">
        <v>164</v>
      </c>
      <c r="O7" s="285"/>
      <c r="P7" s="285"/>
      <c r="Q7" s="286"/>
      <c r="V7" s="1"/>
      <c r="W7" s="1"/>
      <c r="X7" s="1"/>
      <c r="Y7" s="1"/>
      <c r="Z7" s="1"/>
      <c r="AA7" s="1"/>
      <c r="AB7" s="1"/>
      <c r="AC7" s="1"/>
    </row>
    <row r="8" spans="1:29" ht="12.75">
      <c r="A8" s="283" t="s">
        <v>4</v>
      </c>
      <c r="B8" s="291"/>
      <c r="C8" s="267"/>
      <c r="D8" s="267"/>
      <c r="E8" s="268"/>
      <c r="F8" s="291"/>
      <c r="G8" s="267"/>
      <c r="H8" s="267"/>
      <c r="I8" s="268"/>
      <c r="J8" s="261"/>
      <c r="K8" s="262"/>
      <c r="L8" s="262"/>
      <c r="M8" s="263"/>
      <c r="N8" s="287"/>
      <c r="O8" s="288"/>
      <c r="P8" s="288"/>
      <c r="Q8" s="289"/>
      <c r="V8" s="1"/>
      <c r="W8" s="1"/>
      <c r="X8" s="1"/>
      <c r="Y8" s="1"/>
      <c r="Z8" s="1"/>
      <c r="AA8" s="1"/>
      <c r="AB8" s="1"/>
      <c r="AC8" s="1"/>
    </row>
    <row r="9" spans="1:29" ht="84">
      <c r="A9" s="281"/>
      <c r="B9" s="125" t="s">
        <v>286</v>
      </c>
      <c r="C9" s="125" t="s">
        <v>287</v>
      </c>
      <c r="D9" s="31" t="s">
        <v>5</v>
      </c>
      <c r="E9" s="42" t="s">
        <v>157</v>
      </c>
      <c r="F9" s="125" t="s">
        <v>154</v>
      </c>
      <c r="G9" s="125" t="s">
        <v>207</v>
      </c>
      <c r="H9" s="31" t="s">
        <v>5</v>
      </c>
      <c r="I9" s="42" t="s">
        <v>156</v>
      </c>
      <c r="J9" s="125" t="s">
        <v>154</v>
      </c>
      <c r="K9" s="125" t="s">
        <v>207</v>
      </c>
      <c r="L9" s="31" t="s">
        <v>5</v>
      </c>
      <c r="M9" s="42" t="s">
        <v>156</v>
      </c>
      <c r="N9" s="7" t="s">
        <v>280</v>
      </c>
      <c r="O9" s="7" t="s">
        <v>281</v>
      </c>
      <c r="P9" s="31" t="s">
        <v>5</v>
      </c>
      <c r="Q9" s="143" t="s">
        <v>156</v>
      </c>
      <c r="V9" s="1"/>
      <c r="W9" s="1"/>
      <c r="X9" s="1"/>
      <c r="Y9" s="1"/>
      <c r="Z9" s="1"/>
      <c r="AA9" s="1"/>
      <c r="AB9" s="1"/>
      <c r="AC9" s="1"/>
    </row>
    <row r="10" spans="1:29" ht="12.75">
      <c r="A10" s="21">
        <v>1</v>
      </c>
      <c r="B10" s="117">
        <v>6</v>
      </c>
      <c r="C10" s="33">
        <v>7</v>
      </c>
      <c r="D10" s="33">
        <v>8</v>
      </c>
      <c r="E10" s="34">
        <v>9</v>
      </c>
      <c r="F10" s="33">
        <v>10</v>
      </c>
      <c r="G10" s="33">
        <v>11</v>
      </c>
      <c r="H10" s="33">
        <v>12</v>
      </c>
      <c r="I10" s="34">
        <v>13</v>
      </c>
      <c r="J10" s="69">
        <v>14</v>
      </c>
      <c r="K10" s="33">
        <v>15</v>
      </c>
      <c r="L10" s="33">
        <v>16</v>
      </c>
      <c r="M10" s="34">
        <v>17</v>
      </c>
      <c r="N10" s="117">
        <v>2</v>
      </c>
      <c r="O10" s="33">
        <v>3</v>
      </c>
      <c r="P10" s="33">
        <v>4</v>
      </c>
      <c r="Q10" s="46">
        <v>5</v>
      </c>
      <c r="V10" s="1"/>
      <c r="W10" s="1"/>
      <c r="X10" s="1"/>
      <c r="Y10" s="1"/>
      <c r="Z10" s="1"/>
      <c r="AA10" s="1"/>
      <c r="AB10" s="1"/>
      <c r="AC10" s="1"/>
    </row>
    <row r="11" spans="1:29" ht="25.5">
      <c r="A11" s="106" t="s">
        <v>6</v>
      </c>
      <c r="B11" s="60" t="s">
        <v>103</v>
      </c>
      <c r="C11" s="60" t="s">
        <v>103</v>
      </c>
      <c r="D11" s="61">
        <v>100</v>
      </c>
      <c r="E11" s="62">
        <v>0</v>
      </c>
      <c r="F11" s="63" t="s">
        <v>50</v>
      </c>
      <c r="G11" s="63" t="s">
        <v>50</v>
      </c>
      <c r="H11" s="61">
        <f>14.68/14.68*100</f>
        <v>100</v>
      </c>
      <c r="I11" s="62">
        <f>14.68-14.68</f>
        <v>0</v>
      </c>
      <c r="J11" s="63" t="s">
        <v>78</v>
      </c>
      <c r="K11" s="63" t="s">
        <v>78</v>
      </c>
      <c r="L11" s="61">
        <f>16.8/16.8*100</f>
        <v>100</v>
      </c>
      <c r="M11" s="62">
        <f>16.8-16.8</f>
        <v>0</v>
      </c>
      <c r="N11" s="120" t="s">
        <v>135</v>
      </c>
      <c r="O11" s="120" t="s">
        <v>135</v>
      </c>
      <c r="P11" s="61">
        <v>100</v>
      </c>
      <c r="Q11" s="62">
        <v>0</v>
      </c>
      <c r="V11" s="1"/>
      <c r="W11" s="1"/>
      <c r="X11" s="1"/>
      <c r="Y11" s="1"/>
      <c r="Z11" s="1"/>
      <c r="AA11" s="1"/>
      <c r="AB11" s="1"/>
      <c r="AC11" s="1"/>
    </row>
    <row r="12" spans="1:29" ht="25.5">
      <c r="A12" s="22" t="s">
        <v>7</v>
      </c>
      <c r="B12" s="28" t="s">
        <v>108</v>
      </c>
      <c r="C12" s="28" t="s">
        <v>108</v>
      </c>
      <c r="D12" s="35">
        <f>500.45/500.45*100</f>
        <v>100</v>
      </c>
      <c r="E12" s="36">
        <f>500.45-500.45</f>
        <v>0</v>
      </c>
      <c r="F12" s="28" t="s">
        <v>110</v>
      </c>
      <c r="G12" s="28" t="s">
        <v>110</v>
      </c>
      <c r="H12" s="35">
        <v>100</v>
      </c>
      <c r="I12" s="36">
        <v>0</v>
      </c>
      <c r="J12" s="28" t="s">
        <v>109</v>
      </c>
      <c r="K12" s="28" t="s">
        <v>109</v>
      </c>
      <c r="L12" s="35">
        <v>100</v>
      </c>
      <c r="M12" s="36">
        <v>0</v>
      </c>
      <c r="N12" s="118" t="s">
        <v>56</v>
      </c>
      <c r="O12" s="118" t="s">
        <v>56</v>
      </c>
      <c r="P12" s="35" t="s">
        <v>56</v>
      </c>
      <c r="Q12" s="36" t="s">
        <v>56</v>
      </c>
      <c r="V12" s="1"/>
      <c r="W12" s="1"/>
      <c r="X12" s="1"/>
      <c r="Y12" s="1"/>
      <c r="Z12" s="1"/>
      <c r="AA12" s="1"/>
      <c r="AB12" s="1"/>
      <c r="AC12" s="1"/>
    </row>
    <row r="13" spans="1:29" ht="25.5">
      <c r="A13" s="22" t="s">
        <v>8</v>
      </c>
      <c r="B13" s="28" t="s">
        <v>107</v>
      </c>
      <c r="C13" s="28" t="s">
        <v>107</v>
      </c>
      <c r="D13" s="35">
        <f>518.08/518.08*100</f>
        <v>100</v>
      </c>
      <c r="E13" s="36">
        <f>518.08-518.08</f>
        <v>0</v>
      </c>
      <c r="F13" s="28" t="s">
        <v>73</v>
      </c>
      <c r="G13" s="28" t="s">
        <v>73</v>
      </c>
      <c r="H13" s="35">
        <f>14.16/14.16*100</f>
        <v>100</v>
      </c>
      <c r="I13" s="36">
        <f>14.16-14.16</f>
        <v>0</v>
      </c>
      <c r="J13" s="57" t="s">
        <v>44</v>
      </c>
      <c r="K13" s="57" t="s">
        <v>44</v>
      </c>
      <c r="L13" s="35">
        <f>12.98/12.98*100</f>
        <v>100</v>
      </c>
      <c r="M13" s="36">
        <f>12.98-12.98</f>
        <v>0</v>
      </c>
      <c r="N13" s="118" t="s">
        <v>56</v>
      </c>
      <c r="O13" s="118" t="s">
        <v>56</v>
      </c>
      <c r="P13" s="35" t="s">
        <v>56</v>
      </c>
      <c r="Q13" s="36" t="s">
        <v>56</v>
      </c>
      <c r="V13" s="1"/>
      <c r="W13" s="1"/>
      <c r="X13" s="1"/>
      <c r="Y13" s="1"/>
      <c r="Z13" s="1"/>
      <c r="AA13" s="1"/>
      <c r="AB13" s="1"/>
      <c r="AC13" s="1"/>
    </row>
    <row r="14" spans="1:29" ht="38.25">
      <c r="A14" s="22" t="s">
        <v>9</v>
      </c>
      <c r="B14" s="28" t="s">
        <v>330</v>
      </c>
      <c r="C14" s="28" t="s">
        <v>330</v>
      </c>
      <c r="D14" s="35">
        <f>1008.9/1008.9*100</f>
        <v>100</v>
      </c>
      <c r="E14" s="36">
        <f>1008.9-1008.9</f>
        <v>0</v>
      </c>
      <c r="F14" s="28" t="s">
        <v>69</v>
      </c>
      <c r="G14" s="28" t="s">
        <v>69</v>
      </c>
      <c r="H14" s="35">
        <f>38.74/38.74*100</f>
        <v>100</v>
      </c>
      <c r="I14" s="36">
        <f>38.74-38.74</f>
        <v>0</v>
      </c>
      <c r="J14" s="28" t="s">
        <v>71</v>
      </c>
      <c r="K14" s="28" t="s">
        <v>71</v>
      </c>
      <c r="L14" s="35">
        <f>49.75/49.75*100</f>
        <v>100</v>
      </c>
      <c r="M14" s="36">
        <f>49.75-49.75</f>
        <v>0</v>
      </c>
      <c r="N14" s="118" t="s">
        <v>56</v>
      </c>
      <c r="O14" s="118" t="s">
        <v>56</v>
      </c>
      <c r="P14" s="35" t="s">
        <v>56</v>
      </c>
      <c r="Q14" s="36" t="s">
        <v>56</v>
      </c>
      <c r="V14" s="1"/>
      <c r="W14" s="1"/>
      <c r="X14" s="1"/>
      <c r="Y14" s="1"/>
      <c r="Z14" s="1"/>
      <c r="AA14" s="1"/>
      <c r="AB14" s="1"/>
      <c r="AC14" s="1"/>
    </row>
    <row r="15" spans="1:29" ht="25.5">
      <c r="A15" s="22" t="s">
        <v>10</v>
      </c>
      <c r="B15" s="28" t="s">
        <v>105</v>
      </c>
      <c r="C15" s="28" t="s">
        <v>105</v>
      </c>
      <c r="D15" s="35">
        <f>597.08/597.08*100</f>
        <v>100</v>
      </c>
      <c r="E15" s="36">
        <f>597.08-597.08</f>
        <v>0</v>
      </c>
      <c r="F15" s="28" t="s">
        <v>75</v>
      </c>
      <c r="G15" s="28" t="s">
        <v>75</v>
      </c>
      <c r="H15" s="35">
        <f>13.33/13.33*100</f>
        <v>100</v>
      </c>
      <c r="I15" s="36">
        <f>13.33-13.33</f>
        <v>0</v>
      </c>
      <c r="J15" s="28" t="s">
        <v>76</v>
      </c>
      <c r="K15" s="28" t="s">
        <v>76</v>
      </c>
      <c r="L15" s="35">
        <f>19.82/19.82*100</f>
        <v>100</v>
      </c>
      <c r="M15" s="36">
        <f>19.82-19.82</f>
        <v>0</v>
      </c>
      <c r="N15" s="118" t="s">
        <v>136</v>
      </c>
      <c r="O15" s="118" t="s">
        <v>136</v>
      </c>
      <c r="P15" s="35">
        <v>100</v>
      </c>
      <c r="Q15" s="36">
        <v>0</v>
      </c>
      <c r="V15" s="1"/>
      <c r="W15" s="1"/>
      <c r="X15" s="1"/>
      <c r="Y15" s="1"/>
      <c r="Z15" s="1"/>
      <c r="AA15" s="1"/>
      <c r="AB15" s="1"/>
      <c r="AC15" s="1"/>
    </row>
    <row r="16" spans="1:29" ht="25.5">
      <c r="A16" s="22" t="s">
        <v>11</v>
      </c>
      <c r="B16" s="28" t="s">
        <v>106</v>
      </c>
      <c r="C16" s="28" t="s">
        <v>106</v>
      </c>
      <c r="D16" s="35">
        <f>551/551*100</f>
        <v>100</v>
      </c>
      <c r="E16" s="36">
        <f>551-551</f>
        <v>0</v>
      </c>
      <c r="F16" s="28" t="s">
        <v>70</v>
      </c>
      <c r="G16" s="28" t="s">
        <v>70</v>
      </c>
      <c r="H16" s="35">
        <f>12.8/12.8*100</f>
        <v>100</v>
      </c>
      <c r="I16" s="36">
        <f>12.8-12.8</f>
        <v>0</v>
      </c>
      <c r="J16" s="28" t="s">
        <v>72</v>
      </c>
      <c r="K16" s="28" t="s">
        <v>72</v>
      </c>
      <c r="L16" s="35">
        <f>11.51/11.51*100</f>
        <v>100</v>
      </c>
      <c r="M16" s="36">
        <f>11.51-11.51</f>
        <v>0</v>
      </c>
      <c r="N16" s="118" t="s">
        <v>56</v>
      </c>
      <c r="O16" s="118" t="s">
        <v>56</v>
      </c>
      <c r="P16" s="35" t="s">
        <v>56</v>
      </c>
      <c r="Q16" s="36" t="s">
        <v>56</v>
      </c>
      <c r="V16" s="1"/>
      <c r="W16" s="1"/>
      <c r="X16" s="1"/>
      <c r="Y16" s="1"/>
      <c r="Z16" s="1"/>
      <c r="AA16" s="1"/>
      <c r="AB16" s="1"/>
      <c r="AC16" s="1"/>
    </row>
    <row r="17" spans="1:29" ht="25.5">
      <c r="A17" s="22" t="s">
        <v>12</v>
      </c>
      <c r="B17" s="28" t="s">
        <v>104</v>
      </c>
      <c r="C17" s="28" t="s">
        <v>104</v>
      </c>
      <c r="D17" s="35">
        <f>669.06/669.06*100</f>
        <v>100</v>
      </c>
      <c r="E17" s="36">
        <f>669.06-669.06</f>
        <v>0</v>
      </c>
      <c r="F17" s="28" t="s">
        <v>45</v>
      </c>
      <c r="G17" s="28" t="s">
        <v>45</v>
      </c>
      <c r="H17" s="35">
        <f>15.98/15.98*100</f>
        <v>100</v>
      </c>
      <c r="I17" s="36">
        <f>15.98-15.98</f>
        <v>0</v>
      </c>
      <c r="J17" s="28" t="s">
        <v>77</v>
      </c>
      <c r="K17" s="28" t="s">
        <v>77</v>
      </c>
      <c r="L17" s="35">
        <f>18.88/18.88*100</f>
        <v>100</v>
      </c>
      <c r="M17" s="36">
        <f>18.88-18.88</f>
        <v>0</v>
      </c>
      <c r="N17" s="118" t="s">
        <v>56</v>
      </c>
      <c r="O17" s="118" t="s">
        <v>56</v>
      </c>
      <c r="P17" s="35" t="s">
        <v>56</v>
      </c>
      <c r="Q17" s="36" t="s">
        <v>56</v>
      </c>
      <c r="V17" s="1"/>
      <c r="W17" s="1"/>
      <c r="X17" s="1"/>
      <c r="Y17" s="1"/>
      <c r="Z17" s="1"/>
      <c r="AA17" s="1"/>
      <c r="AB17" s="1"/>
      <c r="AC17" s="1"/>
    </row>
    <row r="18" spans="1:29" ht="26.25" thickBot="1">
      <c r="A18" s="23" t="s">
        <v>13</v>
      </c>
      <c r="B18" s="37" t="s">
        <v>95</v>
      </c>
      <c r="C18" s="37" t="s">
        <v>95</v>
      </c>
      <c r="D18" s="38">
        <f>660.8/660.8*100</f>
        <v>100</v>
      </c>
      <c r="E18" s="39">
        <f>660.8-660.8</f>
        <v>0</v>
      </c>
      <c r="F18" s="37" t="s">
        <v>74</v>
      </c>
      <c r="G18" s="37" t="s">
        <v>74</v>
      </c>
      <c r="H18" s="38">
        <f>13.68/13.68*100</f>
        <v>100</v>
      </c>
      <c r="I18" s="39">
        <f>13.68-13.68</f>
        <v>0</v>
      </c>
      <c r="J18" s="37" t="s">
        <v>51</v>
      </c>
      <c r="K18" s="37" t="s">
        <v>51</v>
      </c>
      <c r="L18" s="38">
        <f>13.33/13.33*100</f>
        <v>100</v>
      </c>
      <c r="M18" s="39">
        <f>13.33-13.33</f>
        <v>0</v>
      </c>
      <c r="N18" s="119" t="s">
        <v>56</v>
      </c>
      <c r="O18" s="119" t="s">
        <v>56</v>
      </c>
      <c r="P18" s="38" t="s">
        <v>56</v>
      </c>
      <c r="Q18" s="39" t="s">
        <v>56</v>
      </c>
      <c r="V18" s="1"/>
      <c r="W18" s="1"/>
      <c r="X18" s="1"/>
      <c r="Y18" s="1"/>
      <c r="Z18" s="1"/>
      <c r="AA18" s="1"/>
      <c r="AB18" s="1"/>
      <c r="AC18" s="1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</sheetData>
  <mergeCells count="6">
    <mergeCell ref="A8:A9"/>
    <mergeCell ref="A3:Q4"/>
    <mergeCell ref="N7:Q8"/>
    <mergeCell ref="F7:I8"/>
    <mergeCell ref="J7:M8"/>
    <mergeCell ref="B7:E8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M1:N1"/>
  <sheetViews>
    <sheetView tabSelected="1" workbookViewId="0" topLeftCell="A1">
      <selection activeCell="O17" sqref="O17"/>
    </sheetView>
  </sheetViews>
  <sheetFormatPr defaultColWidth="9.00390625" defaultRowHeight="12.75"/>
  <sheetData>
    <row r="1" spans="13:14" ht="15">
      <c r="M1" s="322" t="s">
        <v>323</v>
      </c>
      <c r="N1" s="322"/>
    </row>
  </sheetData>
  <mergeCells count="1">
    <mergeCell ref="M1:N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M1:N1"/>
  <sheetViews>
    <sheetView workbookViewId="0" topLeftCell="A1">
      <selection activeCell="M1" sqref="M1:N1"/>
    </sheetView>
  </sheetViews>
  <sheetFormatPr defaultColWidth="9.00390625" defaultRowHeight="12.75"/>
  <sheetData>
    <row r="1" spans="13:14" ht="15">
      <c r="M1" s="322" t="s">
        <v>324</v>
      </c>
      <c r="N1" s="322"/>
    </row>
  </sheetData>
  <mergeCells count="1">
    <mergeCell ref="M1:N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M1:N1"/>
  <sheetViews>
    <sheetView workbookViewId="0" topLeftCell="A1">
      <selection activeCell="O9" sqref="O9"/>
    </sheetView>
  </sheetViews>
  <sheetFormatPr defaultColWidth="9.00390625" defaultRowHeight="12.75"/>
  <sheetData>
    <row r="1" spans="13:14" ht="15">
      <c r="M1" s="322" t="s">
        <v>327</v>
      </c>
      <c r="N1" s="322"/>
    </row>
  </sheetData>
  <mergeCells count="1">
    <mergeCell ref="M1:N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G203"/>
  <sheetViews>
    <sheetView view="pageBreakPreview" zoomScaleSheetLayoutView="100" workbookViewId="0" topLeftCell="A1">
      <selection activeCell="BN21" sqref="BN21"/>
    </sheetView>
  </sheetViews>
  <sheetFormatPr defaultColWidth="9.00390625" defaultRowHeight="12.75"/>
  <sheetData>
    <row r="1" spans="1:59" ht="12.75">
      <c r="A1" s="144" t="s">
        <v>6</v>
      </c>
      <c r="B1" s="111">
        <v>13.05</v>
      </c>
      <c r="C1" s="147">
        <v>15.72</v>
      </c>
      <c r="O1" s="144" t="s">
        <v>6</v>
      </c>
      <c r="AC1" s="144" t="s">
        <v>6</v>
      </c>
      <c r="AD1" s="59">
        <v>100</v>
      </c>
      <c r="AE1" s="59">
        <v>100</v>
      </c>
      <c r="AQ1" s="144" t="s">
        <v>6</v>
      </c>
      <c r="AR1" s="84">
        <v>13.05</v>
      </c>
      <c r="AS1" s="84">
        <v>15.72</v>
      </c>
      <c r="BE1" s="144" t="s">
        <v>6</v>
      </c>
      <c r="BF1" s="146">
        <v>3104.28</v>
      </c>
      <c r="BG1" s="146">
        <f>'Т9'!D8</f>
        <v>3252.06</v>
      </c>
    </row>
    <row r="2" spans="1:59" ht="25.5">
      <c r="A2" s="48" t="s">
        <v>7</v>
      </c>
      <c r="B2" s="4">
        <v>18.79</v>
      </c>
      <c r="C2" s="147">
        <v>18.79</v>
      </c>
      <c r="O2" s="48" t="s">
        <v>7</v>
      </c>
      <c r="AC2" s="48" t="s">
        <v>7</v>
      </c>
      <c r="AD2" s="5">
        <v>100</v>
      </c>
      <c r="AE2" s="5">
        <v>100</v>
      </c>
      <c r="AQ2" s="48" t="s">
        <v>7</v>
      </c>
      <c r="AR2" s="84">
        <v>18.53</v>
      </c>
      <c r="AS2" s="84">
        <v>18.53</v>
      </c>
      <c r="BE2" s="48" t="s">
        <v>7</v>
      </c>
      <c r="BF2" s="146">
        <v>2631.12</v>
      </c>
      <c r="BG2" s="146">
        <f>'Т9'!D10</f>
        <v>2631.12</v>
      </c>
    </row>
    <row r="3" spans="1:59" ht="25.5">
      <c r="A3" s="48" t="s">
        <v>8</v>
      </c>
      <c r="B3" s="111">
        <v>19.18</v>
      </c>
      <c r="C3" s="147">
        <v>19.18</v>
      </c>
      <c r="O3" s="48" t="s">
        <v>8</v>
      </c>
      <c r="AC3" s="48" t="s">
        <v>8</v>
      </c>
      <c r="AD3" s="45">
        <v>89</v>
      </c>
      <c r="AE3" s="45">
        <v>89</v>
      </c>
      <c r="AQ3" s="48" t="s">
        <v>8</v>
      </c>
      <c r="AR3" s="84">
        <v>18.14</v>
      </c>
      <c r="AS3" s="84">
        <v>18.14</v>
      </c>
      <c r="BE3" s="48" t="s">
        <v>8</v>
      </c>
      <c r="BF3" s="146">
        <v>2515.5</v>
      </c>
      <c r="BG3" s="146">
        <f>'Т9'!D12</f>
        <v>2515.5</v>
      </c>
    </row>
    <row r="4" spans="1:59" ht="38.25">
      <c r="A4" s="48" t="s">
        <v>9</v>
      </c>
      <c r="B4" s="4">
        <v>19.59</v>
      </c>
      <c r="C4" s="147">
        <v>19.59</v>
      </c>
      <c r="O4" s="48" t="s">
        <v>9</v>
      </c>
      <c r="AC4" s="48" t="s">
        <v>9</v>
      </c>
      <c r="AD4" s="45">
        <v>100</v>
      </c>
      <c r="AE4" s="45">
        <v>100</v>
      </c>
      <c r="AQ4" s="48" t="s">
        <v>9</v>
      </c>
      <c r="AR4" s="57">
        <v>21.34</v>
      </c>
      <c r="AS4" s="57">
        <v>21.34</v>
      </c>
      <c r="BE4" s="48" t="s">
        <v>9</v>
      </c>
      <c r="BF4" s="146">
        <v>4342.75</v>
      </c>
      <c r="BG4" s="146">
        <f>'Т9'!D14</f>
        <v>4342.75</v>
      </c>
    </row>
    <row r="5" spans="1:59" ht="12.75">
      <c r="A5" s="48" t="s">
        <v>10</v>
      </c>
      <c r="B5" s="4">
        <v>20.65</v>
      </c>
      <c r="C5" s="147">
        <v>20.65</v>
      </c>
      <c r="O5" s="48" t="s">
        <v>10</v>
      </c>
      <c r="AC5" s="48" t="s">
        <v>10</v>
      </c>
      <c r="AD5" s="45">
        <v>100</v>
      </c>
      <c r="AE5" s="45">
        <v>100</v>
      </c>
      <c r="AQ5" s="48" t="s">
        <v>10</v>
      </c>
      <c r="AR5" s="57">
        <v>17.69</v>
      </c>
      <c r="AS5" s="57">
        <v>17.69</v>
      </c>
      <c r="BE5" s="48" t="s">
        <v>10</v>
      </c>
      <c r="BF5" s="146">
        <v>3266</v>
      </c>
      <c r="BG5" s="146">
        <f>'Т9'!D16</f>
        <v>3266</v>
      </c>
    </row>
    <row r="6" spans="1:59" ht="12.75">
      <c r="A6" s="48" t="s">
        <v>11</v>
      </c>
      <c r="B6" s="4">
        <v>14.33</v>
      </c>
      <c r="C6" s="147">
        <v>14.33</v>
      </c>
      <c r="O6" s="48" t="s">
        <v>11</v>
      </c>
      <c r="AC6" s="48" t="s">
        <v>11</v>
      </c>
      <c r="AD6" s="45">
        <v>100</v>
      </c>
      <c r="AE6" s="45">
        <v>100</v>
      </c>
      <c r="AQ6" s="48" t="s">
        <v>11</v>
      </c>
      <c r="AR6" s="57">
        <v>14.32</v>
      </c>
      <c r="AS6" s="57">
        <v>14.32</v>
      </c>
      <c r="BE6" s="48" t="s">
        <v>11</v>
      </c>
      <c r="BF6" s="146">
        <v>2776.46</v>
      </c>
      <c r="BG6" s="146">
        <f>'Т9'!D18</f>
        <v>2776.46</v>
      </c>
    </row>
    <row r="7" spans="1:59" ht="12.75">
      <c r="A7" s="48" t="s">
        <v>12</v>
      </c>
      <c r="B7" s="28">
        <v>14.42</v>
      </c>
      <c r="C7" s="147">
        <v>14.42</v>
      </c>
      <c r="O7" s="48" t="s">
        <v>12</v>
      </c>
      <c r="AC7" s="48" t="s">
        <v>12</v>
      </c>
      <c r="AD7" s="45">
        <v>100</v>
      </c>
      <c r="AE7" s="45">
        <v>100</v>
      </c>
      <c r="AQ7" s="48" t="s">
        <v>12</v>
      </c>
      <c r="AR7" s="57">
        <v>14.42</v>
      </c>
      <c r="AS7" s="57">
        <v>14.42</v>
      </c>
      <c r="BE7" s="48" t="s">
        <v>12</v>
      </c>
      <c r="BF7" s="146">
        <v>2912.76</v>
      </c>
      <c r="BG7" s="146">
        <f>'Т9'!D20</f>
        <v>2912.76</v>
      </c>
    </row>
    <row r="8" spans="1:59" ht="13.5" thickBot="1">
      <c r="A8" s="48" t="s">
        <v>13</v>
      </c>
      <c r="B8" s="140">
        <v>19.22</v>
      </c>
      <c r="C8" s="17">
        <v>19.22</v>
      </c>
      <c r="O8" s="48" t="s">
        <v>13</v>
      </c>
      <c r="AC8" s="48" t="s">
        <v>13</v>
      </c>
      <c r="AD8" s="50">
        <v>100</v>
      </c>
      <c r="AE8" s="50">
        <v>100</v>
      </c>
      <c r="AQ8" s="48" t="s">
        <v>13</v>
      </c>
      <c r="AR8" s="88">
        <v>17.7</v>
      </c>
      <c r="AS8" s="88">
        <v>17.7</v>
      </c>
      <c r="BE8" s="48" t="s">
        <v>13</v>
      </c>
      <c r="BF8" s="146">
        <v>2547.9</v>
      </c>
      <c r="BG8" s="146">
        <f>'Т9'!D22</f>
        <v>2547.9</v>
      </c>
    </row>
    <row r="10" spans="1:57" ht="12.75">
      <c r="A10" s="145" t="s">
        <v>177</v>
      </c>
      <c r="O10" s="145" t="s">
        <v>180</v>
      </c>
      <c r="AC10" s="145" t="s">
        <v>186</v>
      </c>
      <c r="AQ10" s="145" t="s">
        <v>188</v>
      </c>
      <c r="BE10" s="145" t="s">
        <v>325</v>
      </c>
    </row>
    <row r="11" spans="1:57" ht="12.75">
      <c r="A11" s="145" t="s">
        <v>228</v>
      </c>
      <c r="O11" s="145" t="s">
        <v>181</v>
      </c>
      <c r="AC11" s="145" t="s">
        <v>236</v>
      </c>
      <c r="AQ11" s="145" t="s">
        <v>237</v>
      </c>
      <c r="BE11" s="145" t="s">
        <v>326</v>
      </c>
    </row>
    <row r="33" spans="1:43" ht="12.75">
      <c r="A33" s="144" t="s">
        <v>6</v>
      </c>
      <c r="B33" s="142">
        <v>10594.04</v>
      </c>
      <c r="C33" s="147">
        <v>11973.61</v>
      </c>
      <c r="AC33" s="144" t="s">
        <v>6</v>
      </c>
      <c r="AD33" s="101">
        <v>100</v>
      </c>
      <c r="AE33" s="101">
        <v>100</v>
      </c>
      <c r="AQ33" s="144" t="s">
        <v>6</v>
      </c>
    </row>
    <row r="34" spans="1:43" ht="25.5">
      <c r="A34" s="48" t="s">
        <v>7</v>
      </c>
      <c r="B34" s="139">
        <v>9488.6</v>
      </c>
      <c r="C34" s="128">
        <v>9488.6</v>
      </c>
      <c r="AC34" s="48" t="s">
        <v>7</v>
      </c>
      <c r="AD34" s="101">
        <v>100</v>
      </c>
      <c r="AE34" s="101">
        <v>100</v>
      </c>
      <c r="AQ34" s="48" t="s">
        <v>7</v>
      </c>
    </row>
    <row r="35" spans="1:43" ht="25.5">
      <c r="A35" s="48" t="s">
        <v>8</v>
      </c>
      <c r="B35" s="139" t="s">
        <v>56</v>
      </c>
      <c r="C35" s="147" t="s">
        <v>56</v>
      </c>
      <c r="AC35" s="48" t="s">
        <v>8</v>
      </c>
      <c r="AD35" s="101" t="s">
        <v>56</v>
      </c>
      <c r="AE35" s="101" t="s">
        <v>56</v>
      </c>
      <c r="AQ35" s="48" t="s">
        <v>8</v>
      </c>
    </row>
    <row r="36" spans="1:43" ht="25.5">
      <c r="A36" s="48" t="s">
        <v>9</v>
      </c>
      <c r="B36" s="139" t="s">
        <v>56</v>
      </c>
      <c r="C36" s="147" t="s">
        <v>56</v>
      </c>
      <c r="AC36" s="48" t="s">
        <v>9</v>
      </c>
      <c r="AD36" s="101" t="s">
        <v>56</v>
      </c>
      <c r="AE36" s="101" t="s">
        <v>56</v>
      </c>
      <c r="AQ36" s="48" t="s">
        <v>9</v>
      </c>
    </row>
    <row r="37" spans="1:43" ht="12.75">
      <c r="A37" s="48" t="s">
        <v>10</v>
      </c>
      <c r="B37" s="118">
        <v>13476.78</v>
      </c>
      <c r="C37" s="147">
        <v>13476.78</v>
      </c>
      <c r="AC37" s="48" t="s">
        <v>10</v>
      </c>
      <c r="AD37" s="101">
        <v>100</v>
      </c>
      <c r="AE37" s="101">
        <v>100</v>
      </c>
      <c r="AQ37" s="48" t="s">
        <v>10</v>
      </c>
    </row>
    <row r="38" spans="1:43" ht="12.75">
      <c r="A38" s="48" t="s">
        <v>11</v>
      </c>
      <c r="B38" s="118">
        <v>8466</v>
      </c>
      <c r="C38" s="128">
        <v>8466</v>
      </c>
      <c r="AC38" s="48" t="s">
        <v>11</v>
      </c>
      <c r="AD38" s="101">
        <v>100</v>
      </c>
      <c r="AE38" s="101">
        <v>100</v>
      </c>
      <c r="AQ38" s="48" t="s">
        <v>11</v>
      </c>
    </row>
    <row r="39" spans="1:43" ht="12.75">
      <c r="A39" s="48" t="s">
        <v>12</v>
      </c>
      <c r="B39" s="118" t="s">
        <v>56</v>
      </c>
      <c r="C39" s="147" t="s">
        <v>56</v>
      </c>
      <c r="AC39" s="48" t="s">
        <v>12</v>
      </c>
      <c r="AD39" s="101" t="s">
        <v>56</v>
      </c>
      <c r="AE39" s="101" t="s">
        <v>56</v>
      </c>
      <c r="AQ39" s="48" t="s">
        <v>12</v>
      </c>
    </row>
    <row r="40" spans="1:43" ht="13.5" thickBot="1">
      <c r="A40" s="48" t="s">
        <v>13</v>
      </c>
      <c r="B40" s="119">
        <v>9424.66</v>
      </c>
      <c r="C40" s="148">
        <v>9424.66</v>
      </c>
      <c r="AC40" s="48" t="s">
        <v>13</v>
      </c>
      <c r="AD40" s="102">
        <v>100</v>
      </c>
      <c r="AE40" s="102">
        <v>100</v>
      </c>
      <c r="AQ40" s="48" t="s">
        <v>13</v>
      </c>
    </row>
    <row r="42" spans="1:43" ht="12.75">
      <c r="A42" s="145" t="s">
        <v>178</v>
      </c>
      <c r="AC42" s="145" t="s">
        <v>186</v>
      </c>
      <c r="AQ42" s="145" t="s">
        <v>187</v>
      </c>
    </row>
    <row r="43" spans="1:43" ht="12.75">
      <c r="A43" s="145" t="s">
        <v>229</v>
      </c>
      <c r="AC43" s="145" t="s">
        <v>236</v>
      </c>
      <c r="AQ43" s="145" t="s">
        <v>188</v>
      </c>
    </row>
    <row r="65" spans="1:45" ht="12.75">
      <c r="A65" s="144" t="s">
        <v>6</v>
      </c>
      <c r="B65" s="128">
        <v>160.83</v>
      </c>
      <c r="C65" s="147">
        <v>155.26</v>
      </c>
      <c r="O65" s="144" t="s">
        <v>6</v>
      </c>
      <c r="P65" s="75">
        <v>0.1</v>
      </c>
      <c r="Q65" s="75">
        <v>0.12</v>
      </c>
      <c r="AC65" s="144" t="s">
        <v>6</v>
      </c>
      <c r="AD65" s="76">
        <v>100</v>
      </c>
      <c r="AE65" s="76">
        <v>100</v>
      </c>
      <c r="AQ65" s="144" t="s">
        <v>6</v>
      </c>
      <c r="AR65" s="57">
        <v>16.08</v>
      </c>
      <c r="AS65" s="57" t="s">
        <v>56</v>
      </c>
    </row>
    <row r="66" spans="1:45" ht="25.5">
      <c r="A66" s="48" t="s">
        <v>7</v>
      </c>
      <c r="B66" s="128">
        <v>100.65</v>
      </c>
      <c r="C66" s="147">
        <v>100.65</v>
      </c>
      <c r="O66" s="48" t="s">
        <v>7</v>
      </c>
      <c r="P66" s="67">
        <v>0.125</v>
      </c>
      <c r="Q66" s="67">
        <v>0.125</v>
      </c>
      <c r="AC66" s="48" t="s">
        <v>7</v>
      </c>
      <c r="AD66" s="76">
        <v>100</v>
      </c>
      <c r="AE66" s="76">
        <v>100</v>
      </c>
      <c r="AQ66" s="48" t="s">
        <v>7</v>
      </c>
      <c r="AR66" s="107">
        <v>12.58</v>
      </c>
      <c r="AS66" s="107">
        <v>12.58</v>
      </c>
    </row>
    <row r="67" spans="1:45" ht="25.5">
      <c r="A67" s="48" t="s">
        <v>8</v>
      </c>
      <c r="B67" s="128">
        <v>251.93</v>
      </c>
      <c r="C67" s="147">
        <v>251.93</v>
      </c>
      <c r="O67" s="48" t="s">
        <v>8</v>
      </c>
      <c r="P67" s="67">
        <v>0.113</v>
      </c>
      <c r="Q67" s="67">
        <v>0.113</v>
      </c>
      <c r="AC67" s="48" t="s">
        <v>8</v>
      </c>
      <c r="AD67" s="76">
        <v>100</v>
      </c>
      <c r="AE67" s="76">
        <v>100</v>
      </c>
      <c r="AQ67" s="48" t="s">
        <v>8</v>
      </c>
      <c r="AR67" s="107">
        <v>28.34</v>
      </c>
      <c r="AS67" s="107">
        <v>28.34</v>
      </c>
    </row>
    <row r="68" spans="1:45" ht="25.5">
      <c r="A68" s="48" t="s">
        <v>9</v>
      </c>
      <c r="B68" s="128" t="s">
        <v>68</v>
      </c>
      <c r="C68" s="147" t="s">
        <v>56</v>
      </c>
      <c r="O68" s="48" t="s">
        <v>9</v>
      </c>
      <c r="P68" s="67" t="s">
        <v>56</v>
      </c>
      <c r="Q68" s="67" t="s">
        <v>56</v>
      </c>
      <c r="AC68" s="48" t="s">
        <v>9</v>
      </c>
      <c r="AD68" s="76" t="s">
        <v>56</v>
      </c>
      <c r="AE68" s="76" t="s">
        <v>56</v>
      </c>
      <c r="AQ68" s="48" t="s">
        <v>9</v>
      </c>
      <c r="AR68" s="107" t="s">
        <v>56</v>
      </c>
      <c r="AS68" s="107" t="s">
        <v>56</v>
      </c>
    </row>
    <row r="69" spans="1:45" ht="12.75">
      <c r="A69" s="48" t="s">
        <v>10</v>
      </c>
      <c r="B69" s="128" t="s">
        <v>68</v>
      </c>
      <c r="C69" s="147" t="s">
        <v>56</v>
      </c>
      <c r="O69" s="48" t="s">
        <v>10</v>
      </c>
      <c r="P69" s="67" t="s">
        <v>56</v>
      </c>
      <c r="Q69" s="67" t="s">
        <v>56</v>
      </c>
      <c r="AC69" s="48" t="s">
        <v>10</v>
      </c>
      <c r="AD69" s="76" t="s">
        <v>56</v>
      </c>
      <c r="AE69" s="76" t="s">
        <v>56</v>
      </c>
      <c r="AQ69" s="48" t="s">
        <v>10</v>
      </c>
      <c r="AR69" s="57" t="s">
        <v>56</v>
      </c>
      <c r="AS69" s="57" t="s">
        <v>56</v>
      </c>
    </row>
    <row r="70" spans="1:45" ht="12.75">
      <c r="A70" s="48" t="s">
        <v>11</v>
      </c>
      <c r="B70" s="128">
        <v>275</v>
      </c>
      <c r="C70" s="128">
        <v>275</v>
      </c>
      <c r="O70" s="48" t="s">
        <v>11</v>
      </c>
      <c r="P70" s="67">
        <v>0.125</v>
      </c>
      <c r="Q70" s="67">
        <v>0.125</v>
      </c>
      <c r="AC70" s="48" t="s">
        <v>11</v>
      </c>
      <c r="AD70" s="76">
        <v>100</v>
      </c>
      <c r="AE70" s="76">
        <v>100</v>
      </c>
      <c r="AQ70" s="48" t="s">
        <v>11</v>
      </c>
      <c r="AR70" s="107">
        <v>34.38</v>
      </c>
      <c r="AS70" s="107">
        <v>34.38</v>
      </c>
    </row>
    <row r="71" spans="1:45" ht="12.75">
      <c r="A71" s="48" t="s">
        <v>12</v>
      </c>
      <c r="B71" s="129">
        <v>254.04</v>
      </c>
      <c r="C71" s="147">
        <v>254.04</v>
      </c>
      <c r="O71" s="48" t="s">
        <v>12</v>
      </c>
      <c r="P71" s="67">
        <v>0.167</v>
      </c>
      <c r="Q71" s="67">
        <v>0.167</v>
      </c>
      <c r="AC71" s="48" t="s">
        <v>12</v>
      </c>
      <c r="AD71" s="76">
        <v>100</v>
      </c>
      <c r="AE71" s="76">
        <v>100</v>
      </c>
      <c r="AQ71" s="48" t="s">
        <v>12</v>
      </c>
      <c r="AR71" s="107">
        <v>42.34</v>
      </c>
      <c r="AS71" s="107">
        <v>42.34</v>
      </c>
    </row>
    <row r="72" spans="1:45" ht="13.5" thickBot="1">
      <c r="A72" s="48" t="s">
        <v>13</v>
      </c>
      <c r="B72" s="130">
        <v>222.55</v>
      </c>
      <c r="C72" s="148">
        <v>222.55</v>
      </c>
      <c r="O72" s="48" t="s">
        <v>13</v>
      </c>
      <c r="P72" s="68">
        <v>0.103</v>
      </c>
      <c r="Q72" s="68">
        <v>0.103</v>
      </c>
      <c r="AC72" s="48" t="s">
        <v>13</v>
      </c>
      <c r="AD72" s="78">
        <v>100</v>
      </c>
      <c r="AE72" s="78">
        <v>100</v>
      </c>
      <c r="AQ72" s="48" t="s">
        <v>13</v>
      </c>
      <c r="AR72" s="108">
        <v>23</v>
      </c>
      <c r="AS72" s="108">
        <v>23</v>
      </c>
    </row>
    <row r="74" spans="1:43" ht="12.75">
      <c r="A74" s="145" t="s">
        <v>284</v>
      </c>
      <c r="O74" s="145" t="s">
        <v>182</v>
      </c>
      <c r="AC74" s="145" t="s">
        <v>186</v>
      </c>
      <c r="AQ74" s="145" t="s">
        <v>189</v>
      </c>
    </row>
    <row r="75" spans="1:43" ht="12.75">
      <c r="A75" s="145" t="s">
        <v>285</v>
      </c>
      <c r="O75" s="145" t="s">
        <v>232</v>
      </c>
      <c r="AC75" s="145" t="s">
        <v>236</v>
      </c>
      <c r="AQ75" s="145" t="s">
        <v>238</v>
      </c>
    </row>
    <row r="97" spans="1:45" ht="12.75">
      <c r="A97" s="144" t="s">
        <v>6</v>
      </c>
      <c r="B97" s="116">
        <v>692.66</v>
      </c>
      <c r="C97" s="116">
        <v>692.66</v>
      </c>
      <c r="O97" s="144" t="s">
        <v>6</v>
      </c>
      <c r="P97" s="83">
        <v>0.024</v>
      </c>
      <c r="Q97" s="83">
        <v>0.024</v>
      </c>
      <c r="AC97" s="144" t="s">
        <v>6</v>
      </c>
      <c r="AD97" s="133">
        <v>100</v>
      </c>
      <c r="AE97" s="79">
        <v>100</v>
      </c>
      <c r="AQ97" s="144" t="s">
        <v>6</v>
      </c>
      <c r="AR97" s="109">
        <v>16.62</v>
      </c>
      <c r="AS97" s="109">
        <v>16.62</v>
      </c>
    </row>
    <row r="98" spans="1:45" ht="25.5">
      <c r="A98" s="48" t="s">
        <v>7</v>
      </c>
      <c r="B98" s="49">
        <v>500.45</v>
      </c>
      <c r="C98" s="49">
        <v>500.45</v>
      </c>
      <c r="O98" s="48" t="s">
        <v>7</v>
      </c>
      <c r="P98" s="43">
        <v>0.023</v>
      </c>
      <c r="Q98" s="43">
        <v>0.023</v>
      </c>
      <c r="AC98" s="48" t="s">
        <v>7</v>
      </c>
      <c r="AD98" s="103">
        <v>100</v>
      </c>
      <c r="AE98" s="5">
        <v>100</v>
      </c>
      <c r="AQ98" s="48" t="s">
        <v>7</v>
      </c>
      <c r="AR98" s="109">
        <v>11.51</v>
      </c>
      <c r="AS98" s="109">
        <v>11.51</v>
      </c>
    </row>
    <row r="99" spans="1:45" ht="25.5">
      <c r="A99" s="48" t="s">
        <v>8</v>
      </c>
      <c r="B99" s="49">
        <v>518.08</v>
      </c>
      <c r="C99" s="49">
        <v>518.08</v>
      </c>
      <c r="O99" s="48" t="s">
        <v>8</v>
      </c>
      <c r="P99" s="43">
        <v>0.025</v>
      </c>
      <c r="Q99" s="43">
        <v>0.025</v>
      </c>
      <c r="AC99" s="48" t="s">
        <v>8</v>
      </c>
      <c r="AD99" s="45">
        <v>95.1</v>
      </c>
      <c r="AE99" s="45">
        <v>95.1</v>
      </c>
      <c r="AQ99" s="48" t="s">
        <v>8</v>
      </c>
      <c r="AR99" s="109">
        <v>12.32</v>
      </c>
      <c r="AS99" s="109">
        <v>12.32</v>
      </c>
    </row>
    <row r="100" spans="1:45" ht="38.25">
      <c r="A100" s="48" t="s">
        <v>9</v>
      </c>
      <c r="B100" s="49">
        <v>1008.9</v>
      </c>
      <c r="C100" s="49">
        <v>1008.9</v>
      </c>
      <c r="O100" s="48" t="s">
        <v>9</v>
      </c>
      <c r="P100" s="43">
        <v>0.025</v>
      </c>
      <c r="Q100" s="43">
        <v>0.025</v>
      </c>
      <c r="AC100" s="48" t="s">
        <v>9</v>
      </c>
      <c r="AD100" s="134">
        <v>100</v>
      </c>
      <c r="AE100" s="45">
        <v>100</v>
      </c>
      <c r="AQ100" s="48" t="s">
        <v>9</v>
      </c>
      <c r="AR100" s="109">
        <v>25.22</v>
      </c>
      <c r="AS100" s="109">
        <v>25.22</v>
      </c>
    </row>
    <row r="101" spans="1:45" ht="12.75">
      <c r="A101" s="48" t="s">
        <v>10</v>
      </c>
      <c r="B101" s="49">
        <v>597.08</v>
      </c>
      <c r="C101" s="49">
        <v>597.08</v>
      </c>
      <c r="O101" s="48" t="s">
        <v>10</v>
      </c>
      <c r="P101" s="43">
        <v>0.028</v>
      </c>
      <c r="Q101" s="43">
        <v>0.028</v>
      </c>
      <c r="AC101" s="48" t="s">
        <v>10</v>
      </c>
      <c r="AD101" s="134">
        <v>100</v>
      </c>
      <c r="AE101" s="45">
        <v>100</v>
      </c>
      <c r="AQ101" s="48" t="s">
        <v>10</v>
      </c>
      <c r="AR101" s="109">
        <v>16.72</v>
      </c>
      <c r="AS101" s="109">
        <v>16.72</v>
      </c>
    </row>
    <row r="102" spans="1:45" ht="12.75">
      <c r="A102" s="48" t="s">
        <v>11</v>
      </c>
      <c r="B102" s="49">
        <v>551</v>
      </c>
      <c r="C102" s="49">
        <v>551</v>
      </c>
      <c r="O102" s="48" t="s">
        <v>11</v>
      </c>
      <c r="P102" s="43">
        <v>0.025</v>
      </c>
      <c r="Q102" s="43">
        <v>0.025</v>
      </c>
      <c r="AC102" s="48" t="s">
        <v>11</v>
      </c>
      <c r="AD102" s="134">
        <v>100</v>
      </c>
      <c r="AE102" s="45">
        <v>100</v>
      </c>
      <c r="AQ102" s="48" t="s">
        <v>11</v>
      </c>
      <c r="AR102" s="109">
        <v>13.78</v>
      </c>
      <c r="AS102" s="109">
        <v>13.78</v>
      </c>
    </row>
    <row r="103" spans="1:45" ht="12.75">
      <c r="A103" s="48" t="s">
        <v>12</v>
      </c>
      <c r="B103" s="49">
        <v>669.06</v>
      </c>
      <c r="C103" s="49">
        <v>669.06</v>
      </c>
      <c r="O103" s="48" t="s">
        <v>12</v>
      </c>
      <c r="P103" s="43">
        <v>0.025</v>
      </c>
      <c r="Q103" s="43">
        <v>0.025</v>
      </c>
      <c r="AC103" s="48" t="s">
        <v>12</v>
      </c>
      <c r="AD103" s="134">
        <v>100</v>
      </c>
      <c r="AE103" s="45">
        <v>100</v>
      </c>
      <c r="AQ103" s="48" t="s">
        <v>12</v>
      </c>
      <c r="AR103" s="109">
        <v>16.73</v>
      </c>
      <c r="AS103" s="109">
        <v>16.73</v>
      </c>
    </row>
    <row r="104" spans="1:45" ht="13.5" thickBot="1">
      <c r="A104" s="48" t="s">
        <v>13</v>
      </c>
      <c r="B104" s="49">
        <v>660.8</v>
      </c>
      <c r="C104" s="49">
        <v>660.8</v>
      </c>
      <c r="O104" s="48" t="s">
        <v>13</v>
      </c>
      <c r="P104" s="44">
        <v>0.02</v>
      </c>
      <c r="Q104" s="44">
        <v>0.02</v>
      </c>
      <c r="AC104" s="48" t="s">
        <v>13</v>
      </c>
      <c r="AD104" s="135">
        <v>100</v>
      </c>
      <c r="AE104" s="47">
        <v>100</v>
      </c>
      <c r="AQ104" s="48" t="s">
        <v>13</v>
      </c>
      <c r="AR104" s="109">
        <v>13.3</v>
      </c>
      <c r="AS104" s="109">
        <v>13.3</v>
      </c>
    </row>
    <row r="106" spans="1:43" ht="12.75">
      <c r="A106" s="145" t="s">
        <v>179</v>
      </c>
      <c r="O106" s="145" t="s">
        <v>183</v>
      </c>
      <c r="AC106" s="145" t="s">
        <v>186</v>
      </c>
      <c r="AQ106" s="145" t="s">
        <v>188</v>
      </c>
    </row>
    <row r="107" spans="1:43" ht="12.75">
      <c r="A107" s="145" t="s">
        <v>230</v>
      </c>
      <c r="O107" s="145" t="s">
        <v>233</v>
      </c>
      <c r="AC107" s="145" t="s">
        <v>236</v>
      </c>
      <c r="AQ107" s="145" t="s">
        <v>237</v>
      </c>
    </row>
    <row r="129" spans="1:45" ht="12.75">
      <c r="A129" s="144" t="s">
        <v>6</v>
      </c>
      <c r="B129" s="93">
        <v>14.68</v>
      </c>
      <c r="C129" s="93">
        <v>14.68</v>
      </c>
      <c r="O129" s="144" t="s">
        <v>6</v>
      </c>
      <c r="P129" s="109">
        <v>9</v>
      </c>
      <c r="Q129" s="109">
        <v>9</v>
      </c>
      <c r="AC129" s="144" t="s">
        <v>6</v>
      </c>
      <c r="AD129" s="124">
        <v>100</v>
      </c>
      <c r="AE129" s="124">
        <v>100</v>
      </c>
      <c r="AQ129" s="144" t="s">
        <v>6</v>
      </c>
      <c r="AR129" s="109">
        <v>132.12</v>
      </c>
      <c r="AS129" s="109">
        <v>132.12</v>
      </c>
    </row>
    <row r="130" spans="1:45" ht="25.5">
      <c r="A130" s="48" t="s">
        <v>7</v>
      </c>
      <c r="B130" s="49">
        <v>11.86</v>
      </c>
      <c r="C130" s="49">
        <v>11.86</v>
      </c>
      <c r="O130" s="48" t="s">
        <v>7</v>
      </c>
      <c r="P130" s="49">
        <v>9.6</v>
      </c>
      <c r="Q130" s="49">
        <v>9.6</v>
      </c>
      <c r="AC130" s="48" t="s">
        <v>7</v>
      </c>
      <c r="AD130" s="4">
        <v>100</v>
      </c>
      <c r="AE130" s="4">
        <v>100</v>
      </c>
      <c r="AQ130" s="48" t="s">
        <v>7</v>
      </c>
      <c r="AR130" s="109">
        <v>113.85</v>
      </c>
      <c r="AS130" s="109">
        <v>113.85</v>
      </c>
    </row>
    <row r="131" spans="1:45" ht="25.5">
      <c r="A131" s="48" t="s">
        <v>8</v>
      </c>
      <c r="B131" s="49">
        <v>14.16</v>
      </c>
      <c r="C131" s="49">
        <v>14.16</v>
      </c>
      <c r="O131" s="48" t="s">
        <v>8</v>
      </c>
      <c r="P131" s="49">
        <v>7.97</v>
      </c>
      <c r="Q131" s="49">
        <v>7.97</v>
      </c>
      <c r="AC131" s="48" t="s">
        <v>8</v>
      </c>
      <c r="AD131" s="28">
        <v>100</v>
      </c>
      <c r="AE131" s="28">
        <v>100</v>
      </c>
      <c r="AQ131" s="48" t="s">
        <v>8</v>
      </c>
      <c r="AR131" s="109">
        <v>65.84</v>
      </c>
      <c r="AS131" s="109">
        <v>65.84</v>
      </c>
    </row>
    <row r="132" spans="1:45" ht="38.25">
      <c r="A132" s="48" t="s">
        <v>9</v>
      </c>
      <c r="B132" s="49">
        <v>38.74</v>
      </c>
      <c r="C132" s="49">
        <v>38.74</v>
      </c>
      <c r="O132" s="48" t="s">
        <v>9</v>
      </c>
      <c r="P132" s="49">
        <v>5.6</v>
      </c>
      <c r="Q132" s="49">
        <v>5.6</v>
      </c>
      <c r="AC132" s="48" t="s">
        <v>9</v>
      </c>
      <c r="AD132" s="28">
        <v>93.82</v>
      </c>
      <c r="AE132" s="28">
        <v>93.82</v>
      </c>
      <c r="AQ132" s="48" t="s">
        <v>9</v>
      </c>
      <c r="AR132" s="109">
        <v>203.53</v>
      </c>
      <c r="AS132" s="109">
        <v>203.53</v>
      </c>
    </row>
    <row r="133" spans="1:45" ht="12.75">
      <c r="A133" s="48" t="s">
        <v>10</v>
      </c>
      <c r="B133" s="49">
        <v>13.33</v>
      </c>
      <c r="C133" s="49">
        <v>13.33</v>
      </c>
      <c r="O133" s="48" t="s">
        <v>10</v>
      </c>
      <c r="P133" s="49">
        <v>9.12</v>
      </c>
      <c r="Q133" s="49">
        <v>9.12</v>
      </c>
      <c r="AC133" s="48" t="s">
        <v>10</v>
      </c>
      <c r="AD133" s="28">
        <v>100</v>
      </c>
      <c r="AE133" s="28">
        <v>100</v>
      </c>
      <c r="AQ133" s="48" t="s">
        <v>10</v>
      </c>
      <c r="AR133" s="109">
        <v>121.57</v>
      </c>
      <c r="AS133" s="109">
        <v>121.57</v>
      </c>
    </row>
    <row r="134" spans="1:45" ht="12.75">
      <c r="A134" s="48" t="s">
        <v>11</v>
      </c>
      <c r="B134" s="49">
        <v>12.8</v>
      </c>
      <c r="C134" s="49">
        <v>12.8</v>
      </c>
      <c r="O134" s="48" t="s">
        <v>11</v>
      </c>
      <c r="P134" s="49">
        <v>9.3</v>
      </c>
      <c r="Q134" s="49">
        <v>9.3</v>
      </c>
      <c r="AC134" s="48" t="s">
        <v>11</v>
      </c>
      <c r="AD134" s="28">
        <v>100</v>
      </c>
      <c r="AE134" s="28">
        <v>100</v>
      </c>
      <c r="AQ134" s="48" t="s">
        <v>11</v>
      </c>
      <c r="AR134" s="109">
        <v>119.04</v>
      </c>
      <c r="AS134" s="109">
        <v>119.04</v>
      </c>
    </row>
    <row r="135" spans="1:45" ht="12.75">
      <c r="A135" s="48" t="s">
        <v>12</v>
      </c>
      <c r="B135" s="49">
        <v>15.98</v>
      </c>
      <c r="C135" s="49">
        <v>15.98</v>
      </c>
      <c r="O135" s="48" t="s">
        <v>12</v>
      </c>
      <c r="P135" s="49">
        <v>7.6</v>
      </c>
      <c r="Q135" s="49">
        <v>7.6</v>
      </c>
      <c r="AC135" s="48" t="s">
        <v>12</v>
      </c>
      <c r="AD135" s="28">
        <v>100</v>
      </c>
      <c r="AE135" s="28">
        <v>100</v>
      </c>
      <c r="AQ135" s="48" t="s">
        <v>12</v>
      </c>
      <c r="AR135" s="109">
        <v>63.23</v>
      </c>
      <c r="AS135" s="109">
        <v>63.23</v>
      </c>
    </row>
    <row r="136" spans="1:45" ht="13.5" thickBot="1">
      <c r="A136" s="48" t="s">
        <v>13</v>
      </c>
      <c r="B136" s="49">
        <v>13.68</v>
      </c>
      <c r="C136" s="49">
        <v>13.68</v>
      </c>
      <c r="O136" s="48" t="s">
        <v>13</v>
      </c>
      <c r="P136" s="49">
        <v>7.62</v>
      </c>
      <c r="Q136" s="49">
        <v>7.62</v>
      </c>
      <c r="AC136" s="48" t="s">
        <v>13</v>
      </c>
      <c r="AD136" s="37">
        <v>93</v>
      </c>
      <c r="AE136" s="37">
        <v>93</v>
      </c>
      <c r="AQ136" s="48" t="s">
        <v>13</v>
      </c>
      <c r="AR136" s="109">
        <v>97.1</v>
      </c>
      <c r="AS136" s="109">
        <v>97.1</v>
      </c>
    </row>
    <row r="138" spans="1:43" ht="12.75">
      <c r="A138" s="145" t="s">
        <v>181</v>
      </c>
      <c r="O138" s="145" t="s">
        <v>184</v>
      </c>
      <c r="AC138" s="145" t="s">
        <v>186</v>
      </c>
      <c r="AQ138" s="145" t="s">
        <v>189</v>
      </c>
    </row>
    <row r="139" spans="1:43" ht="12.75">
      <c r="A139" s="145" t="s">
        <v>231</v>
      </c>
      <c r="O139" s="145" t="s">
        <v>234</v>
      </c>
      <c r="AC139" s="145" t="s">
        <v>236</v>
      </c>
      <c r="AQ139" s="145" t="s">
        <v>238</v>
      </c>
    </row>
    <row r="161" spans="1:45" ht="12.75">
      <c r="A161" s="144" t="s">
        <v>6</v>
      </c>
      <c r="B161" s="93">
        <v>16.8</v>
      </c>
      <c r="C161" s="93">
        <v>16.8</v>
      </c>
      <c r="O161" s="144" t="s">
        <v>6</v>
      </c>
      <c r="P161" s="93">
        <v>9</v>
      </c>
      <c r="Q161" s="93">
        <v>9</v>
      </c>
      <c r="AC161" s="144" t="s">
        <v>6</v>
      </c>
      <c r="AD161" s="79">
        <v>100</v>
      </c>
      <c r="AE161" s="79">
        <v>100</v>
      </c>
      <c r="AQ161" s="144" t="s">
        <v>6</v>
      </c>
      <c r="AR161" s="57">
        <v>151.2</v>
      </c>
      <c r="AS161" s="57">
        <v>151.2</v>
      </c>
    </row>
    <row r="162" spans="1:45" ht="25.5">
      <c r="A162" s="48" t="s">
        <v>7</v>
      </c>
      <c r="B162" s="49">
        <v>11.47</v>
      </c>
      <c r="C162" s="49">
        <v>11.47</v>
      </c>
      <c r="O162" s="48" t="s">
        <v>7</v>
      </c>
      <c r="P162" s="49">
        <v>9.6</v>
      </c>
      <c r="Q162" s="49">
        <v>9.6</v>
      </c>
      <c r="AC162" s="48" t="s">
        <v>7</v>
      </c>
      <c r="AD162" s="5">
        <v>100</v>
      </c>
      <c r="AE162" s="5">
        <v>100</v>
      </c>
      <c r="AQ162" s="48" t="s">
        <v>7</v>
      </c>
      <c r="AR162" s="57">
        <v>110.11</v>
      </c>
      <c r="AS162" s="57">
        <v>110.11</v>
      </c>
    </row>
    <row r="163" spans="1:45" ht="25.5">
      <c r="A163" s="48" t="s">
        <v>8</v>
      </c>
      <c r="B163" s="109">
        <v>12.98</v>
      </c>
      <c r="C163" s="109">
        <v>12.98</v>
      </c>
      <c r="O163" s="48" t="s">
        <v>8</v>
      </c>
      <c r="P163" s="49">
        <v>7.63</v>
      </c>
      <c r="Q163" s="49">
        <v>7.63</v>
      </c>
      <c r="AC163" s="48" t="s">
        <v>8</v>
      </c>
      <c r="AD163" s="5">
        <v>100</v>
      </c>
      <c r="AE163" s="45">
        <v>100</v>
      </c>
      <c r="AQ163" s="48" t="s">
        <v>8</v>
      </c>
      <c r="AR163" s="57">
        <v>99.04</v>
      </c>
      <c r="AS163" s="57">
        <v>99.04</v>
      </c>
    </row>
    <row r="164" spans="1:45" ht="38.25">
      <c r="A164" s="48" t="s">
        <v>9</v>
      </c>
      <c r="B164" s="49">
        <v>49.75</v>
      </c>
      <c r="C164" s="49">
        <v>49.75</v>
      </c>
      <c r="O164" s="48" t="s">
        <v>9</v>
      </c>
      <c r="P164" s="49">
        <v>5.3</v>
      </c>
      <c r="Q164" s="49">
        <v>5.3</v>
      </c>
      <c r="AC164" s="48" t="s">
        <v>9</v>
      </c>
      <c r="AD164" s="45">
        <v>100</v>
      </c>
      <c r="AE164" s="45">
        <v>100</v>
      </c>
      <c r="AQ164" s="48" t="s">
        <v>9</v>
      </c>
      <c r="AR164" s="57">
        <v>263.67</v>
      </c>
      <c r="AS164" s="57">
        <v>263.67</v>
      </c>
    </row>
    <row r="165" spans="1:45" ht="12.75">
      <c r="A165" s="48" t="s">
        <v>10</v>
      </c>
      <c r="B165" s="49">
        <v>19.82</v>
      </c>
      <c r="C165" s="49">
        <v>19.82</v>
      </c>
      <c r="O165" s="48" t="s">
        <v>10</v>
      </c>
      <c r="P165" s="49">
        <v>9.12</v>
      </c>
      <c r="Q165" s="49">
        <v>9.12</v>
      </c>
      <c r="AC165" s="48" t="s">
        <v>10</v>
      </c>
      <c r="AD165" s="45">
        <v>100</v>
      </c>
      <c r="AE165" s="45">
        <v>100</v>
      </c>
      <c r="AQ165" s="48" t="s">
        <v>10</v>
      </c>
      <c r="AR165" s="57">
        <v>180.76</v>
      </c>
      <c r="AS165" s="57">
        <v>180.76</v>
      </c>
    </row>
    <row r="166" spans="1:45" ht="12.75">
      <c r="A166" s="48" t="s">
        <v>11</v>
      </c>
      <c r="B166" s="49">
        <v>11.51</v>
      </c>
      <c r="C166" s="49">
        <v>11.51</v>
      </c>
      <c r="O166" s="48" t="s">
        <v>11</v>
      </c>
      <c r="P166" s="49">
        <v>9.2</v>
      </c>
      <c r="Q166" s="49">
        <v>9.2</v>
      </c>
      <c r="AC166" s="48" t="s">
        <v>11</v>
      </c>
      <c r="AD166" s="45">
        <v>100</v>
      </c>
      <c r="AE166" s="45">
        <v>100</v>
      </c>
      <c r="AQ166" s="48" t="s">
        <v>11</v>
      </c>
      <c r="AR166" s="57">
        <v>105.8</v>
      </c>
      <c r="AS166" s="57">
        <v>105.8</v>
      </c>
    </row>
    <row r="167" spans="1:45" ht="12.75">
      <c r="A167" s="48" t="s">
        <v>12</v>
      </c>
      <c r="B167" s="49">
        <v>18.88</v>
      </c>
      <c r="C167" s="49">
        <v>18.88</v>
      </c>
      <c r="O167" s="48" t="s">
        <v>12</v>
      </c>
      <c r="P167" s="49">
        <v>7.24</v>
      </c>
      <c r="Q167" s="49">
        <v>7.24</v>
      </c>
      <c r="AC167" s="48" t="s">
        <v>12</v>
      </c>
      <c r="AD167" s="45">
        <v>100</v>
      </c>
      <c r="AE167" s="45">
        <v>100</v>
      </c>
      <c r="AQ167" s="48" t="s">
        <v>12</v>
      </c>
      <c r="AR167" s="57">
        <v>136.69</v>
      </c>
      <c r="AS167" s="57">
        <v>136.69</v>
      </c>
    </row>
    <row r="168" spans="1:45" ht="13.5" thickBot="1">
      <c r="A168" s="48" t="s">
        <v>13</v>
      </c>
      <c r="B168" s="49">
        <v>13.33</v>
      </c>
      <c r="C168" s="49">
        <v>13.33</v>
      </c>
      <c r="O168" s="48" t="s">
        <v>13</v>
      </c>
      <c r="P168" s="49">
        <v>7.62</v>
      </c>
      <c r="Q168" s="49">
        <v>7.62</v>
      </c>
      <c r="AC168" s="48" t="s">
        <v>13</v>
      </c>
      <c r="AD168" s="47">
        <v>100</v>
      </c>
      <c r="AE168" s="47">
        <v>100</v>
      </c>
      <c r="AQ168" s="48" t="s">
        <v>13</v>
      </c>
      <c r="AR168" s="88">
        <v>101.6</v>
      </c>
      <c r="AS168" s="88">
        <v>101.6</v>
      </c>
    </row>
    <row r="170" spans="1:43" ht="12.75">
      <c r="A170" s="145" t="s">
        <v>181</v>
      </c>
      <c r="O170" s="145" t="s">
        <v>184</v>
      </c>
      <c r="AC170" s="145" t="s">
        <v>186</v>
      </c>
      <c r="AQ170" s="145" t="s">
        <v>189</v>
      </c>
    </row>
    <row r="171" spans="1:43" ht="12.75">
      <c r="A171" s="145" t="s">
        <v>231</v>
      </c>
      <c r="O171" s="145" t="s">
        <v>234</v>
      </c>
      <c r="AC171" s="145" t="s">
        <v>236</v>
      </c>
      <c r="AQ171" s="145" t="s">
        <v>238</v>
      </c>
    </row>
    <row r="193" spans="1:45" ht="12.75">
      <c r="A193" s="144" t="s">
        <v>6</v>
      </c>
      <c r="O193" s="144" t="s">
        <v>6</v>
      </c>
      <c r="P193" s="83">
        <v>0.237</v>
      </c>
      <c r="Q193" s="83">
        <v>0.237</v>
      </c>
      <c r="AC193" s="144" t="s">
        <v>6</v>
      </c>
      <c r="AD193" s="123">
        <v>100</v>
      </c>
      <c r="AE193" s="123">
        <v>100</v>
      </c>
      <c r="AQ193" s="144" t="s">
        <v>6</v>
      </c>
      <c r="AR193" s="109">
        <v>164.16</v>
      </c>
      <c r="AS193" s="109">
        <v>164.16</v>
      </c>
    </row>
    <row r="194" spans="1:45" ht="25.5">
      <c r="A194" s="48" t="s">
        <v>7</v>
      </c>
      <c r="O194" s="48" t="s">
        <v>7</v>
      </c>
      <c r="P194" s="43">
        <v>0.313</v>
      </c>
      <c r="Q194" s="43">
        <v>0.313</v>
      </c>
      <c r="AC194" s="48" t="s">
        <v>7</v>
      </c>
      <c r="AD194" s="80">
        <v>100</v>
      </c>
      <c r="AE194" s="80">
        <v>100</v>
      </c>
      <c r="AQ194" s="48" t="s">
        <v>7</v>
      </c>
      <c r="AR194" s="109">
        <v>156.65</v>
      </c>
      <c r="AS194" s="109">
        <v>156.65</v>
      </c>
    </row>
    <row r="195" spans="1:45" ht="25.5">
      <c r="A195" s="48" t="s">
        <v>8</v>
      </c>
      <c r="O195" s="48" t="s">
        <v>8</v>
      </c>
      <c r="P195" s="45"/>
      <c r="Q195" s="45"/>
      <c r="AC195" s="48" t="s">
        <v>8</v>
      </c>
      <c r="AD195" s="81">
        <v>95.3</v>
      </c>
      <c r="AE195" s="81">
        <v>95.3</v>
      </c>
      <c r="AQ195" s="48" t="s">
        <v>8</v>
      </c>
      <c r="AR195" s="109">
        <v>93.4</v>
      </c>
      <c r="AS195" s="109">
        <v>93.4</v>
      </c>
    </row>
    <row r="196" spans="1:45" ht="25.5">
      <c r="A196" s="48" t="s">
        <v>9</v>
      </c>
      <c r="O196" s="48" t="s">
        <v>9</v>
      </c>
      <c r="P196" s="43">
        <v>0.141</v>
      </c>
      <c r="Q196" s="43">
        <v>0.141</v>
      </c>
      <c r="AC196" s="48" t="s">
        <v>9</v>
      </c>
      <c r="AD196" s="81">
        <v>100</v>
      </c>
      <c r="AE196" s="81">
        <v>100</v>
      </c>
      <c r="AQ196" s="48" t="s">
        <v>9</v>
      </c>
      <c r="AR196" s="109">
        <v>142.25</v>
      </c>
      <c r="AS196" s="109">
        <v>142.25</v>
      </c>
    </row>
    <row r="197" spans="1:45" ht="12.75">
      <c r="A197" s="48" t="s">
        <v>10</v>
      </c>
      <c r="O197" s="48" t="s">
        <v>10</v>
      </c>
      <c r="P197" s="43">
        <v>0.24</v>
      </c>
      <c r="Q197" s="43">
        <v>0.24</v>
      </c>
      <c r="AC197" s="48" t="s">
        <v>10</v>
      </c>
      <c r="AD197" s="81">
        <v>100</v>
      </c>
      <c r="AE197" s="81">
        <v>100</v>
      </c>
      <c r="AQ197" s="48" t="s">
        <v>10</v>
      </c>
      <c r="AR197" s="109">
        <v>143.3</v>
      </c>
      <c r="AS197" s="109">
        <v>143.3</v>
      </c>
    </row>
    <row r="198" spans="1:45" ht="12.75">
      <c r="A198" s="48" t="s">
        <v>11</v>
      </c>
      <c r="O198" s="48" t="s">
        <v>11</v>
      </c>
      <c r="P198" s="43">
        <v>0.236</v>
      </c>
      <c r="Q198" s="43">
        <v>0.236</v>
      </c>
      <c r="AC198" s="48" t="s">
        <v>11</v>
      </c>
      <c r="AD198" s="80">
        <v>100</v>
      </c>
      <c r="AE198" s="80">
        <v>100</v>
      </c>
      <c r="AQ198" s="48" t="s">
        <v>11</v>
      </c>
      <c r="AR198" s="109">
        <v>130.04</v>
      </c>
      <c r="AS198" s="109">
        <v>130.04</v>
      </c>
    </row>
    <row r="199" spans="1:45" ht="12.75">
      <c r="A199" s="48" t="s">
        <v>12</v>
      </c>
      <c r="O199" s="48" t="s">
        <v>12</v>
      </c>
      <c r="P199" s="43">
        <v>0.17</v>
      </c>
      <c r="Q199" s="43">
        <v>0.17</v>
      </c>
      <c r="AC199" s="48" t="s">
        <v>12</v>
      </c>
      <c r="AD199" s="80">
        <v>100</v>
      </c>
      <c r="AE199" s="80">
        <v>100</v>
      </c>
      <c r="AQ199" s="48" t="s">
        <v>12</v>
      </c>
      <c r="AR199" s="109">
        <v>172.1</v>
      </c>
      <c r="AS199" s="109">
        <v>172.1</v>
      </c>
    </row>
    <row r="200" spans="1:45" ht="13.5" thickBot="1">
      <c r="A200" s="48" t="s">
        <v>13</v>
      </c>
      <c r="O200" s="48" t="s">
        <v>13</v>
      </c>
      <c r="P200" s="44">
        <v>0.148</v>
      </c>
      <c r="Q200" s="44">
        <v>0.148</v>
      </c>
      <c r="AC200" s="48" t="s">
        <v>13</v>
      </c>
      <c r="AD200" s="82">
        <v>100</v>
      </c>
      <c r="AE200" s="82">
        <v>100</v>
      </c>
      <c r="AQ200" s="48" t="s">
        <v>13</v>
      </c>
      <c r="AR200" s="109">
        <v>98.4</v>
      </c>
      <c r="AS200" s="109">
        <v>98.4</v>
      </c>
    </row>
    <row r="202" spans="1:43" ht="12.75">
      <c r="A202" s="145" t="s">
        <v>180</v>
      </c>
      <c r="O202" s="145" t="s">
        <v>185</v>
      </c>
      <c r="AC202" s="145" t="s">
        <v>186</v>
      </c>
      <c r="AQ202" s="145" t="s">
        <v>189</v>
      </c>
    </row>
    <row r="203" spans="1:43" ht="12.75">
      <c r="A203" s="145" t="s">
        <v>181</v>
      </c>
      <c r="O203" s="145" t="s">
        <v>235</v>
      </c>
      <c r="AC203" s="145" t="s">
        <v>236</v>
      </c>
      <c r="AQ203" s="145" t="s">
        <v>238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H1" sqref="H1"/>
    </sheetView>
  </sheetViews>
  <sheetFormatPr defaultColWidth="9.00390625" defaultRowHeight="12.75"/>
  <sheetData>
    <row r="1" spans="1:17" ht="15">
      <c r="A1" s="1"/>
      <c r="B1" s="1"/>
      <c r="C1" s="1"/>
      <c r="D1" s="1"/>
      <c r="E1" s="1"/>
      <c r="F1" s="1"/>
      <c r="G1" s="1"/>
      <c r="H1" s="240" t="s">
        <v>36</v>
      </c>
      <c r="J1" s="1"/>
      <c r="K1" s="1"/>
      <c r="L1" s="1"/>
      <c r="M1" s="1"/>
      <c r="N1" s="1"/>
      <c r="O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44.25" customHeight="1">
      <c r="A4" s="257" t="s">
        <v>246</v>
      </c>
      <c r="B4" s="257"/>
      <c r="C4" s="257"/>
      <c r="D4" s="257"/>
      <c r="E4" s="257"/>
      <c r="F4" s="257"/>
      <c r="G4" s="257"/>
      <c r="H4" s="257"/>
      <c r="I4" s="257"/>
      <c r="J4" s="151"/>
      <c r="K4" s="151"/>
      <c r="L4" s="151"/>
      <c r="M4" s="151"/>
      <c r="N4" s="151"/>
      <c r="O4" s="151"/>
      <c r="P4" s="151"/>
      <c r="Q4" s="151"/>
    </row>
    <row r="5" spans="1:17" ht="15">
      <c r="A5" s="74"/>
      <c r="B5" s="151" t="s">
        <v>151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8"/>
      <c r="O6" s="98"/>
      <c r="P6" s="98"/>
      <c r="Q6" s="98"/>
    </row>
    <row r="7" spans="1:17" ht="25.5">
      <c r="A7" s="20" t="s">
        <v>0</v>
      </c>
      <c r="B7" s="265" t="s">
        <v>1</v>
      </c>
      <c r="C7" s="265"/>
      <c r="D7" s="265"/>
      <c r="E7" s="266"/>
      <c r="F7" s="251" t="s">
        <v>54</v>
      </c>
      <c r="G7" s="252"/>
      <c r="H7" s="252"/>
      <c r="I7" s="253"/>
      <c r="J7" s="1"/>
      <c r="K7" s="1"/>
      <c r="L7" s="1"/>
      <c r="M7" s="1"/>
      <c r="N7" s="1"/>
      <c r="O7" s="1"/>
      <c r="P7" s="1"/>
      <c r="Q7" s="1"/>
    </row>
    <row r="8" spans="1:17" ht="12.75">
      <c r="A8" s="281" t="s">
        <v>4</v>
      </c>
      <c r="B8" s="267"/>
      <c r="C8" s="267"/>
      <c r="D8" s="267"/>
      <c r="E8" s="268"/>
      <c r="F8" s="254"/>
      <c r="G8" s="255"/>
      <c r="H8" s="255"/>
      <c r="I8" s="256"/>
      <c r="J8" s="1"/>
      <c r="K8" s="1"/>
      <c r="L8" s="1"/>
      <c r="M8" s="1"/>
      <c r="N8" s="1"/>
      <c r="O8" s="1"/>
      <c r="P8" s="1"/>
      <c r="Q8" s="1"/>
    </row>
    <row r="9" spans="1:17" ht="56.25">
      <c r="A9" s="282"/>
      <c r="B9" s="7" t="s">
        <v>158</v>
      </c>
      <c r="C9" s="7" t="s">
        <v>208</v>
      </c>
      <c r="D9" s="7" t="s">
        <v>5</v>
      </c>
      <c r="E9" s="19" t="s">
        <v>159</v>
      </c>
      <c r="F9" s="41" t="s">
        <v>163</v>
      </c>
      <c r="G9" s="41" t="s">
        <v>209</v>
      </c>
      <c r="H9" s="41" t="s">
        <v>5</v>
      </c>
      <c r="I9" s="42" t="s">
        <v>162</v>
      </c>
      <c r="J9" s="1"/>
      <c r="K9" s="1"/>
      <c r="L9" s="1"/>
      <c r="M9" s="1"/>
      <c r="N9" s="1"/>
      <c r="O9" s="1"/>
      <c r="P9" s="1"/>
      <c r="Q9" s="1"/>
    </row>
    <row r="10" spans="1:17" ht="12.75">
      <c r="A10" s="21">
        <v>1</v>
      </c>
      <c r="B10" s="104">
        <v>2</v>
      </c>
      <c r="C10" s="3">
        <v>3</v>
      </c>
      <c r="D10" s="3">
        <v>4</v>
      </c>
      <c r="E10" s="29">
        <v>5</v>
      </c>
      <c r="F10" s="64">
        <v>6</v>
      </c>
      <c r="G10" s="65">
        <v>7</v>
      </c>
      <c r="H10" s="65">
        <v>8</v>
      </c>
      <c r="I10" s="66">
        <v>9</v>
      </c>
      <c r="J10" s="1"/>
      <c r="K10" s="1"/>
      <c r="L10" s="1"/>
      <c r="M10" s="1"/>
      <c r="N10" s="1"/>
      <c r="O10" s="1"/>
      <c r="P10" s="1"/>
      <c r="Q10" s="1"/>
    </row>
    <row r="11" spans="1:17" ht="12.75">
      <c r="A11" s="106" t="s">
        <v>6</v>
      </c>
      <c r="B11" s="138">
        <v>18</v>
      </c>
      <c r="C11" s="84">
        <v>18</v>
      </c>
      <c r="D11" s="85">
        <f>C11/B11*100</f>
        <v>100</v>
      </c>
      <c r="E11" s="86">
        <f>C11-B11</f>
        <v>0</v>
      </c>
      <c r="F11" s="75" t="s">
        <v>82</v>
      </c>
      <c r="G11" s="75" t="s">
        <v>210</v>
      </c>
      <c r="H11" s="131">
        <f>0.12/0.1*100</f>
        <v>120</v>
      </c>
      <c r="I11" s="71">
        <f>0.12-0.1</f>
        <v>0.01999999999999999</v>
      </c>
      <c r="J11" s="6"/>
      <c r="K11" s="6"/>
      <c r="N11" s="6"/>
      <c r="O11" s="6"/>
      <c r="P11" s="6"/>
      <c r="Q11" s="6"/>
    </row>
    <row r="12" spans="1:17" ht="25.5">
      <c r="A12" s="22" t="s">
        <v>7</v>
      </c>
      <c r="B12" s="139">
        <v>18</v>
      </c>
      <c r="C12" s="4">
        <v>18</v>
      </c>
      <c r="D12" s="24">
        <f aca="true" t="shared" si="0" ref="D12:D18">C12/B12*100</f>
        <v>100</v>
      </c>
      <c r="E12" s="25">
        <f aca="true" t="shared" si="1" ref="E12:E18">C12-B12</f>
        <v>0</v>
      </c>
      <c r="F12" s="67" t="s">
        <v>79</v>
      </c>
      <c r="G12" s="67" t="s">
        <v>79</v>
      </c>
      <c r="H12" s="131">
        <v>100</v>
      </c>
      <c r="I12" s="71">
        <v>0</v>
      </c>
      <c r="J12" s="6"/>
      <c r="K12" s="6"/>
      <c r="N12" s="6"/>
      <c r="O12" s="6"/>
      <c r="P12" s="6"/>
      <c r="Q12" s="6"/>
    </row>
    <row r="13" spans="1:17" ht="25.5">
      <c r="A13" s="22" t="s">
        <v>8</v>
      </c>
      <c r="B13" s="139">
        <v>18</v>
      </c>
      <c r="C13" s="4">
        <v>18</v>
      </c>
      <c r="D13" s="24">
        <f t="shared" si="0"/>
        <v>100</v>
      </c>
      <c r="E13" s="25">
        <f t="shared" si="1"/>
        <v>0</v>
      </c>
      <c r="F13" s="67" t="s">
        <v>80</v>
      </c>
      <c r="G13" s="67" t="s">
        <v>211</v>
      </c>
      <c r="H13" s="131">
        <v>100</v>
      </c>
      <c r="I13" s="71">
        <v>0</v>
      </c>
      <c r="J13" s="6"/>
      <c r="K13" s="6"/>
      <c r="N13" s="6"/>
      <c r="O13" s="6"/>
      <c r="P13" s="6"/>
      <c r="Q13" s="6"/>
    </row>
    <row r="14" spans="1:17" ht="38.25">
      <c r="A14" s="22" t="s">
        <v>9</v>
      </c>
      <c r="B14" s="139">
        <v>18</v>
      </c>
      <c r="C14" s="4">
        <v>18</v>
      </c>
      <c r="D14" s="24">
        <f t="shared" si="0"/>
        <v>100</v>
      </c>
      <c r="E14" s="25">
        <f t="shared" si="1"/>
        <v>0</v>
      </c>
      <c r="F14" s="67" t="s">
        <v>56</v>
      </c>
      <c r="G14" s="67" t="s">
        <v>56</v>
      </c>
      <c r="H14" s="131" t="s">
        <v>56</v>
      </c>
      <c r="I14" s="71" t="s">
        <v>56</v>
      </c>
      <c r="J14" s="6"/>
      <c r="K14" s="6"/>
      <c r="N14" s="6"/>
      <c r="O14" s="6"/>
      <c r="P14" s="6"/>
      <c r="Q14" s="6"/>
    </row>
    <row r="15" spans="1:17" ht="12.75">
      <c r="A15" s="22" t="s">
        <v>10</v>
      </c>
      <c r="B15" s="139">
        <v>18</v>
      </c>
      <c r="C15" s="4">
        <v>18</v>
      </c>
      <c r="D15" s="24">
        <f t="shared" si="0"/>
        <v>100</v>
      </c>
      <c r="E15" s="25">
        <f t="shared" si="1"/>
        <v>0</v>
      </c>
      <c r="F15" s="67" t="s">
        <v>56</v>
      </c>
      <c r="G15" s="67" t="s">
        <v>56</v>
      </c>
      <c r="H15" s="131" t="s">
        <v>56</v>
      </c>
      <c r="I15" s="131" t="s">
        <v>56</v>
      </c>
      <c r="J15" s="6"/>
      <c r="K15" s="6"/>
      <c r="N15" s="6"/>
      <c r="O15" s="6"/>
      <c r="P15" s="6"/>
      <c r="Q15" s="6"/>
    </row>
    <row r="16" spans="1:17" ht="12.75">
      <c r="A16" s="22" t="s">
        <v>11</v>
      </c>
      <c r="B16" s="139">
        <v>18</v>
      </c>
      <c r="C16" s="4">
        <v>18</v>
      </c>
      <c r="D16" s="24">
        <f t="shared" si="0"/>
        <v>100</v>
      </c>
      <c r="E16" s="25">
        <f t="shared" si="1"/>
        <v>0</v>
      </c>
      <c r="F16" s="67" t="s">
        <v>79</v>
      </c>
      <c r="G16" s="67" t="s">
        <v>79</v>
      </c>
      <c r="H16" s="131">
        <v>100</v>
      </c>
      <c r="I16" s="71">
        <v>0</v>
      </c>
      <c r="J16" s="6"/>
      <c r="K16" s="6"/>
      <c r="N16" s="6"/>
      <c r="O16" s="6"/>
      <c r="P16" s="6"/>
      <c r="Q16" s="6"/>
    </row>
    <row r="17" spans="1:17" ht="12.75">
      <c r="A17" s="22" t="s">
        <v>12</v>
      </c>
      <c r="B17" s="139">
        <v>18</v>
      </c>
      <c r="C17" s="4">
        <v>18</v>
      </c>
      <c r="D17" s="24">
        <f t="shared" si="0"/>
        <v>100</v>
      </c>
      <c r="E17" s="25">
        <f t="shared" si="1"/>
        <v>0</v>
      </c>
      <c r="F17" s="67" t="s">
        <v>149</v>
      </c>
      <c r="G17" s="67" t="s">
        <v>149</v>
      </c>
      <c r="H17" s="131">
        <v>100</v>
      </c>
      <c r="I17" s="71">
        <v>0</v>
      </c>
      <c r="J17" s="6"/>
      <c r="K17" s="6"/>
      <c r="N17" s="6"/>
      <c r="O17" s="6"/>
      <c r="P17" s="6"/>
      <c r="Q17" s="6"/>
    </row>
    <row r="18" spans="1:17" ht="13.5" thickBot="1">
      <c r="A18" s="23" t="s">
        <v>13</v>
      </c>
      <c r="B18" s="140">
        <v>18</v>
      </c>
      <c r="C18" s="17">
        <v>18</v>
      </c>
      <c r="D18" s="26">
        <f t="shared" si="0"/>
        <v>100</v>
      </c>
      <c r="E18" s="27">
        <f t="shared" si="1"/>
        <v>0</v>
      </c>
      <c r="F18" s="68" t="s">
        <v>81</v>
      </c>
      <c r="G18" s="68" t="s">
        <v>212</v>
      </c>
      <c r="H18" s="132">
        <v>100</v>
      </c>
      <c r="I18" s="73">
        <f>0.103-0.104</f>
        <v>-0.0010000000000000009</v>
      </c>
      <c r="J18" s="6"/>
      <c r="K18" s="6"/>
      <c r="N18" s="6"/>
      <c r="O18" s="6"/>
      <c r="P18" s="6"/>
      <c r="Q18" s="6"/>
    </row>
  </sheetData>
  <mergeCells count="4">
    <mergeCell ref="B7:E8"/>
    <mergeCell ref="F7:I8"/>
    <mergeCell ref="A8:A9"/>
    <mergeCell ref="A4:I4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B3">
      <selection activeCell="R9" sqref="R9"/>
    </sheetView>
  </sheetViews>
  <sheetFormatPr defaultColWidth="9.00390625" defaultRowHeight="12.75"/>
  <cols>
    <col min="2" max="2" width="7.125" style="0" customWidth="1"/>
    <col min="3" max="3" width="7.25390625" style="0" customWidth="1"/>
    <col min="4" max="4" width="5.625" style="0" customWidth="1"/>
    <col min="5" max="5" width="5.00390625" style="0" customWidth="1"/>
    <col min="6" max="6" width="6.875" style="0" customWidth="1"/>
    <col min="7" max="7" width="7.75390625" style="0" customWidth="1"/>
    <col min="8" max="8" width="5.625" style="0" customWidth="1"/>
    <col min="9" max="9" width="5.125" style="0" customWidth="1"/>
    <col min="10" max="10" width="7.375" style="0" customWidth="1"/>
    <col min="11" max="11" width="7.875" style="0" customWidth="1"/>
    <col min="12" max="12" width="6.125" style="0" customWidth="1"/>
    <col min="13" max="13" width="7.00390625" style="0" customWidth="1"/>
    <col min="14" max="15" width="7.625" style="0" customWidth="1"/>
    <col min="16" max="16" width="5.75390625" style="0" customWidth="1"/>
    <col min="17" max="17" width="7.625" style="0" customWidth="1"/>
    <col min="18" max="18" width="7.75390625" style="0" customWidth="1"/>
    <col min="19" max="19" width="8.00390625" style="0" customWidth="1"/>
    <col min="20" max="21" width="5.875" style="0" customWidth="1"/>
  </cols>
  <sheetData>
    <row r="1" spans="1:29" ht="15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55"/>
      <c r="O1" s="100"/>
      <c r="P1" s="100"/>
      <c r="Q1" s="1"/>
      <c r="R1" s="1"/>
      <c r="S1" s="1"/>
      <c r="T1" s="240" t="s">
        <v>31</v>
      </c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5"/>
      <c r="O2" s="100"/>
      <c r="P2" s="10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6.75" customHeight="1">
      <c r="A3" s="257" t="s">
        <v>249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151"/>
      <c r="W3" s="151"/>
      <c r="X3" s="151"/>
      <c r="Y3" s="151"/>
      <c r="Z3" s="1"/>
      <c r="AA3" s="1"/>
      <c r="AB3" s="1"/>
      <c r="AC3" s="1"/>
    </row>
    <row r="4" spans="1:29" ht="15.75" thickBot="1">
      <c r="A4" s="74"/>
      <c r="B4" s="151" t="s">
        <v>152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"/>
      <c r="Z4" s="1"/>
      <c r="AA4" s="1"/>
      <c r="AB4" s="1"/>
      <c r="AC4" s="1"/>
    </row>
    <row r="5" spans="1:25" ht="25.5">
      <c r="A5" s="18" t="s">
        <v>0</v>
      </c>
      <c r="B5" s="258" t="s">
        <v>49</v>
      </c>
      <c r="C5" s="259"/>
      <c r="D5" s="259"/>
      <c r="E5" s="260"/>
      <c r="F5" s="258" t="s">
        <v>61</v>
      </c>
      <c r="G5" s="259"/>
      <c r="H5" s="259"/>
      <c r="I5" s="260"/>
      <c r="J5" s="258" t="s">
        <v>3</v>
      </c>
      <c r="K5" s="259"/>
      <c r="L5" s="259"/>
      <c r="M5" s="260"/>
      <c r="N5" s="258" t="s">
        <v>14</v>
      </c>
      <c r="O5" s="259"/>
      <c r="P5" s="259"/>
      <c r="Q5" s="260"/>
      <c r="R5" s="258" t="s">
        <v>164</v>
      </c>
      <c r="S5" s="259"/>
      <c r="T5" s="259"/>
      <c r="U5" s="260"/>
      <c r="V5" s="1"/>
      <c r="W5" s="1"/>
      <c r="X5" s="1"/>
      <c r="Y5" s="1"/>
    </row>
    <row r="6" spans="1:25" ht="12.75">
      <c r="A6" s="281" t="s">
        <v>4</v>
      </c>
      <c r="B6" s="261"/>
      <c r="C6" s="262"/>
      <c r="D6" s="262"/>
      <c r="E6" s="263"/>
      <c r="F6" s="262"/>
      <c r="G6" s="262"/>
      <c r="H6" s="262"/>
      <c r="I6" s="263"/>
      <c r="J6" s="261"/>
      <c r="K6" s="262"/>
      <c r="L6" s="262"/>
      <c r="M6" s="263"/>
      <c r="N6" s="261"/>
      <c r="O6" s="262"/>
      <c r="P6" s="262"/>
      <c r="Q6" s="263"/>
      <c r="R6" s="261"/>
      <c r="S6" s="262"/>
      <c r="T6" s="262"/>
      <c r="U6" s="263"/>
      <c r="V6" s="1"/>
      <c r="W6" s="1"/>
      <c r="X6" s="1"/>
      <c r="Y6" s="1"/>
    </row>
    <row r="7" spans="1:25" ht="74.25" customHeight="1">
      <c r="A7" s="282"/>
      <c r="B7" s="7" t="s">
        <v>282</v>
      </c>
      <c r="C7" s="7" t="s">
        <v>213</v>
      </c>
      <c r="D7" s="41" t="s">
        <v>5</v>
      </c>
      <c r="E7" s="42" t="s">
        <v>244</v>
      </c>
      <c r="F7" s="41" t="s">
        <v>288</v>
      </c>
      <c r="G7" s="41" t="s">
        <v>241</v>
      </c>
      <c r="H7" s="41" t="s">
        <v>5</v>
      </c>
      <c r="I7" s="42" t="s">
        <v>242</v>
      </c>
      <c r="J7" s="41" t="s">
        <v>160</v>
      </c>
      <c r="K7" s="41" t="s">
        <v>161</v>
      </c>
      <c r="L7" s="41" t="s">
        <v>5</v>
      </c>
      <c r="M7" s="42" t="s">
        <v>245</v>
      </c>
      <c r="N7" s="41" t="s">
        <v>153</v>
      </c>
      <c r="O7" s="41" t="s">
        <v>214</v>
      </c>
      <c r="P7" s="41" t="s">
        <v>5</v>
      </c>
      <c r="Q7" s="42" t="s">
        <v>243</v>
      </c>
      <c r="R7" s="41" t="s">
        <v>239</v>
      </c>
      <c r="S7" s="41" t="s">
        <v>240</v>
      </c>
      <c r="T7" s="41" t="s">
        <v>5</v>
      </c>
      <c r="U7" s="42" t="s">
        <v>242</v>
      </c>
      <c r="V7" s="1"/>
      <c r="W7" s="1"/>
      <c r="X7" s="1"/>
      <c r="Y7" s="1"/>
    </row>
    <row r="8" spans="1:25" ht="12.75">
      <c r="A8" s="21">
        <v>1</v>
      </c>
      <c r="B8" s="69">
        <v>2</v>
      </c>
      <c r="C8" s="33">
        <v>3</v>
      </c>
      <c r="D8" s="33">
        <v>4</v>
      </c>
      <c r="E8" s="34">
        <v>5</v>
      </c>
      <c r="F8" s="117">
        <v>10</v>
      </c>
      <c r="G8" s="33">
        <v>11</v>
      </c>
      <c r="H8" s="33">
        <v>12</v>
      </c>
      <c r="I8" s="34">
        <v>13</v>
      </c>
      <c r="J8" s="33">
        <v>14</v>
      </c>
      <c r="K8" s="33">
        <v>15</v>
      </c>
      <c r="L8" s="33">
        <v>16</v>
      </c>
      <c r="M8" s="34">
        <v>17</v>
      </c>
      <c r="N8" s="69">
        <v>18</v>
      </c>
      <c r="O8" s="33">
        <v>19</v>
      </c>
      <c r="P8" s="33">
        <v>20</v>
      </c>
      <c r="Q8" s="34">
        <v>21</v>
      </c>
      <c r="R8" s="69">
        <v>6</v>
      </c>
      <c r="S8" s="33">
        <v>7</v>
      </c>
      <c r="T8" s="33">
        <v>8</v>
      </c>
      <c r="U8" s="34">
        <v>9</v>
      </c>
      <c r="V8" s="1"/>
      <c r="W8" s="1"/>
      <c r="X8" s="1"/>
      <c r="Y8" s="1"/>
    </row>
    <row r="9" spans="1:25" ht="27" customHeight="1">
      <c r="A9" s="106" t="s">
        <v>6</v>
      </c>
      <c r="B9" s="99" t="s">
        <v>117</v>
      </c>
      <c r="C9" s="99" t="s">
        <v>117</v>
      </c>
      <c r="D9" s="61">
        <v>100</v>
      </c>
      <c r="E9" s="62">
        <v>0</v>
      </c>
      <c r="F9" s="63" t="s">
        <v>112</v>
      </c>
      <c r="G9" s="63" t="s">
        <v>112</v>
      </c>
      <c r="H9" s="61">
        <v>100</v>
      </c>
      <c r="I9" s="62">
        <v>0</v>
      </c>
      <c r="J9" s="57" t="s">
        <v>112</v>
      </c>
      <c r="K9" s="57" t="s">
        <v>112</v>
      </c>
      <c r="L9" s="61">
        <v>100</v>
      </c>
      <c r="M9" s="62">
        <v>0</v>
      </c>
      <c r="N9" s="83" t="s">
        <v>38</v>
      </c>
      <c r="O9" s="83" t="s">
        <v>38</v>
      </c>
      <c r="P9" s="61">
        <v>100</v>
      </c>
      <c r="Q9" s="62">
        <v>0</v>
      </c>
      <c r="R9" s="83" t="s">
        <v>137</v>
      </c>
      <c r="S9" s="83" t="s">
        <v>290</v>
      </c>
      <c r="T9" s="61">
        <f>0.12/0.1*100</f>
        <v>120</v>
      </c>
      <c r="U9" s="62">
        <v>0</v>
      </c>
      <c r="V9" s="1"/>
      <c r="W9" s="1"/>
      <c r="X9" s="1"/>
      <c r="Y9" s="1"/>
    </row>
    <row r="10" spans="1:25" ht="25.5">
      <c r="A10" s="22" t="s">
        <v>7</v>
      </c>
      <c r="B10" s="83" t="s">
        <v>118</v>
      </c>
      <c r="C10" s="83" t="s">
        <v>118</v>
      </c>
      <c r="D10" s="61">
        <v>100</v>
      </c>
      <c r="E10" s="62">
        <v>0</v>
      </c>
      <c r="F10" s="63" t="s">
        <v>46</v>
      </c>
      <c r="G10" s="63" t="s">
        <v>46</v>
      </c>
      <c r="H10" s="61">
        <v>100</v>
      </c>
      <c r="I10" s="62">
        <v>0</v>
      </c>
      <c r="J10" s="63" t="s">
        <v>46</v>
      </c>
      <c r="K10" s="63" t="s">
        <v>46</v>
      </c>
      <c r="L10" s="61">
        <v>100</v>
      </c>
      <c r="M10" s="62">
        <v>0</v>
      </c>
      <c r="N10" s="83" t="s">
        <v>47</v>
      </c>
      <c r="O10" s="83" t="s">
        <v>47</v>
      </c>
      <c r="P10" s="61">
        <v>100</v>
      </c>
      <c r="Q10" s="62">
        <v>0</v>
      </c>
      <c r="R10" s="63" t="s">
        <v>56</v>
      </c>
      <c r="S10" s="63" t="s">
        <v>56</v>
      </c>
      <c r="T10" s="63" t="s">
        <v>56</v>
      </c>
      <c r="U10" s="182" t="s">
        <v>56</v>
      </c>
      <c r="V10" s="1"/>
      <c r="W10" s="1"/>
      <c r="X10" s="1"/>
      <c r="Y10" s="1"/>
    </row>
    <row r="11" spans="1:25" ht="25.5">
      <c r="A11" s="22" t="s">
        <v>8</v>
      </c>
      <c r="B11" s="83" t="s">
        <v>116</v>
      </c>
      <c r="C11" s="83" t="s">
        <v>116</v>
      </c>
      <c r="D11" s="61">
        <v>100</v>
      </c>
      <c r="E11" s="62">
        <v>0</v>
      </c>
      <c r="F11" s="63" t="s">
        <v>215</v>
      </c>
      <c r="G11" s="63" t="s">
        <v>215</v>
      </c>
      <c r="H11" s="61">
        <v>100</v>
      </c>
      <c r="I11" s="62">
        <v>0</v>
      </c>
      <c r="J11" s="63" t="s">
        <v>113</v>
      </c>
      <c r="K11" s="63" t="s">
        <v>113</v>
      </c>
      <c r="L11" s="61">
        <v>100</v>
      </c>
      <c r="M11" s="62">
        <v>0</v>
      </c>
      <c r="N11" s="188" t="s">
        <v>63</v>
      </c>
      <c r="O11" s="188" t="s">
        <v>63</v>
      </c>
      <c r="P11" s="61">
        <v>100</v>
      </c>
      <c r="Q11" s="62">
        <v>0</v>
      </c>
      <c r="R11" s="63" t="s">
        <v>56</v>
      </c>
      <c r="S11" s="63" t="s">
        <v>56</v>
      </c>
      <c r="T11" s="63" t="s">
        <v>56</v>
      </c>
      <c r="U11" s="182" t="s">
        <v>56</v>
      </c>
      <c r="V11" s="1"/>
      <c r="W11" s="1"/>
      <c r="X11" s="1"/>
      <c r="Y11" s="1"/>
    </row>
    <row r="12" spans="1:25" ht="27" customHeight="1">
      <c r="A12" s="22" t="s">
        <v>9</v>
      </c>
      <c r="B12" s="83" t="s">
        <v>116</v>
      </c>
      <c r="C12" s="83" t="s">
        <v>116</v>
      </c>
      <c r="D12" s="61">
        <v>100</v>
      </c>
      <c r="E12" s="62">
        <v>0</v>
      </c>
      <c r="F12" s="63" t="s">
        <v>53</v>
      </c>
      <c r="G12" s="63" t="s">
        <v>53</v>
      </c>
      <c r="H12" s="61">
        <v>100</v>
      </c>
      <c r="I12" s="62">
        <v>0</v>
      </c>
      <c r="J12" s="63" t="s">
        <v>40</v>
      </c>
      <c r="K12" s="63" t="s">
        <v>40</v>
      </c>
      <c r="L12" s="61">
        <v>100</v>
      </c>
      <c r="M12" s="62">
        <v>0</v>
      </c>
      <c r="N12" s="83" t="s">
        <v>175</v>
      </c>
      <c r="O12" s="83" t="s">
        <v>175</v>
      </c>
      <c r="P12" s="61">
        <v>100</v>
      </c>
      <c r="Q12" s="62">
        <v>0</v>
      </c>
      <c r="R12" s="63" t="s">
        <v>56</v>
      </c>
      <c r="S12" s="63" t="s">
        <v>56</v>
      </c>
      <c r="T12" s="63" t="s">
        <v>56</v>
      </c>
      <c r="U12" s="182" t="s">
        <v>56</v>
      </c>
      <c r="V12" s="1"/>
      <c r="W12" s="1"/>
      <c r="X12" s="1"/>
      <c r="Y12" s="1"/>
    </row>
    <row r="13" spans="1:25" ht="25.5">
      <c r="A13" s="22" t="s">
        <v>10</v>
      </c>
      <c r="B13" s="83" t="s">
        <v>83</v>
      </c>
      <c r="C13" s="83" t="s">
        <v>83</v>
      </c>
      <c r="D13" s="61">
        <v>100</v>
      </c>
      <c r="E13" s="62">
        <v>0</v>
      </c>
      <c r="F13" s="63" t="s">
        <v>111</v>
      </c>
      <c r="G13" s="63" t="s">
        <v>111</v>
      </c>
      <c r="H13" s="61">
        <v>100</v>
      </c>
      <c r="I13" s="62">
        <v>0</v>
      </c>
      <c r="J13" s="63" t="s">
        <v>111</v>
      </c>
      <c r="K13" s="63" t="s">
        <v>111</v>
      </c>
      <c r="L13" s="61">
        <v>100</v>
      </c>
      <c r="M13" s="62">
        <v>0</v>
      </c>
      <c r="N13" s="83" t="s">
        <v>48</v>
      </c>
      <c r="O13" s="83" t="s">
        <v>48</v>
      </c>
      <c r="P13" s="61">
        <v>100</v>
      </c>
      <c r="Q13" s="62">
        <v>0</v>
      </c>
      <c r="R13" s="83" t="s">
        <v>138</v>
      </c>
      <c r="S13" s="83" t="s">
        <v>138</v>
      </c>
      <c r="T13" s="61">
        <v>100</v>
      </c>
      <c r="U13" s="62">
        <v>0</v>
      </c>
      <c r="V13" s="1"/>
      <c r="W13" s="1"/>
      <c r="X13" s="1"/>
      <c r="Y13" s="1"/>
    </row>
    <row r="14" spans="1:25" ht="25.5">
      <c r="A14" s="22" t="s">
        <v>11</v>
      </c>
      <c r="B14" s="83" t="s">
        <v>116</v>
      </c>
      <c r="C14" s="83" t="s">
        <v>116</v>
      </c>
      <c r="D14" s="61">
        <v>100</v>
      </c>
      <c r="E14" s="62">
        <v>0</v>
      </c>
      <c r="F14" s="63" t="s">
        <v>42</v>
      </c>
      <c r="G14" s="63" t="s">
        <v>42</v>
      </c>
      <c r="H14" s="61">
        <v>100</v>
      </c>
      <c r="I14" s="62">
        <v>0</v>
      </c>
      <c r="J14" s="63" t="s">
        <v>41</v>
      </c>
      <c r="K14" s="63" t="s">
        <v>41</v>
      </c>
      <c r="L14" s="61">
        <v>100</v>
      </c>
      <c r="M14" s="62">
        <v>0</v>
      </c>
      <c r="N14" s="83" t="s">
        <v>37</v>
      </c>
      <c r="O14" s="83" t="s">
        <v>37</v>
      </c>
      <c r="P14" s="61">
        <v>100</v>
      </c>
      <c r="Q14" s="62">
        <v>0</v>
      </c>
      <c r="R14" s="63" t="s">
        <v>56</v>
      </c>
      <c r="S14" s="63" t="s">
        <v>56</v>
      </c>
      <c r="T14" s="63" t="s">
        <v>56</v>
      </c>
      <c r="U14" s="182" t="s">
        <v>56</v>
      </c>
      <c r="V14" s="1"/>
      <c r="W14" s="1"/>
      <c r="X14" s="1"/>
      <c r="Y14" s="1"/>
    </row>
    <row r="15" spans="1:25" ht="28.5" customHeight="1">
      <c r="A15" s="22" t="s">
        <v>12</v>
      </c>
      <c r="B15" s="83" t="s">
        <v>116</v>
      </c>
      <c r="C15" s="83" t="s">
        <v>116</v>
      </c>
      <c r="D15" s="61">
        <v>100</v>
      </c>
      <c r="E15" s="62">
        <v>0</v>
      </c>
      <c r="F15" s="63" t="s">
        <v>289</v>
      </c>
      <c r="G15" s="63" t="s">
        <v>289</v>
      </c>
      <c r="H15" s="61">
        <v>100</v>
      </c>
      <c r="I15" s="62">
        <v>0</v>
      </c>
      <c r="J15" s="63" t="s">
        <v>115</v>
      </c>
      <c r="K15" s="63" t="s">
        <v>115</v>
      </c>
      <c r="L15" s="61">
        <v>100</v>
      </c>
      <c r="M15" s="62">
        <v>0</v>
      </c>
      <c r="N15" s="83" t="s">
        <v>173</v>
      </c>
      <c r="O15" s="63" t="s">
        <v>173</v>
      </c>
      <c r="P15" s="61">
        <v>100</v>
      </c>
      <c r="Q15" s="62">
        <v>0</v>
      </c>
      <c r="R15" s="63" t="s">
        <v>56</v>
      </c>
      <c r="S15" s="63" t="s">
        <v>56</v>
      </c>
      <c r="T15" s="63" t="s">
        <v>56</v>
      </c>
      <c r="U15" s="182" t="s">
        <v>56</v>
      </c>
      <c r="V15" s="1"/>
      <c r="W15" s="1"/>
      <c r="X15" s="1"/>
      <c r="Y15" s="1"/>
    </row>
    <row r="16" spans="1:25" ht="26.25" thickBot="1">
      <c r="A16" s="23" t="s">
        <v>13</v>
      </c>
      <c r="B16" s="183" t="s">
        <v>119</v>
      </c>
      <c r="C16" s="183" t="s">
        <v>119</v>
      </c>
      <c r="D16" s="184">
        <v>100</v>
      </c>
      <c r="E16" s="185">
        <v>0</v>
      </c>
      <c r="F16" s="186" t="s">
        <v>114</v>
      </c>
      <c r="G16" s="186" t="s">
        <v>114</v>
      </c>
      <c r="H16" s="184">
        <v>100</v>
      </c>
      <c r="I16" s="185">
        <v>0</v>
      </c>
      <c r="J16" s="186" t="s">
        <v>114</v>
      </c>
      <c r="K16" s="186" t="s">
        <v>114</v>
      </c>
      <c r="L16" s="184">
        <v>100</v>
      </c>
      <c r="M16" s="185">
        <v>0</v>
      </c>
      <c r="N16" s="183" t="s">
        <v>174</v>
      </c>
      <c r="O16" s="183" t="s">
        <v>174</v>
      </c>
      <c r="P16" s="184">
        <v>100</v>
      </c>
      <c r="Q16" s="185">
        <v>0</v>
      </c>
      <c r="R16" s="186" t="s">
        <v>56</v>
      </c>
      <c r="S16" s="186" t="s">
        <v>56</v>
      </c>
      <c r="T16" s="186" t="s">
        <v>56</v>
      </c>
      <c r="U16" s="187" t="s">
        <v>56</v>
      </c>
      <c r="V16" s="1"/>
      <c r="W16" s="1"/>
      <c r="X16" s="1"/>
      <c r="Y16" s="1"/>
    </row>
    <row r="17" spans="1:29" ht="6.75" customHeight="1">
      <c r="A17" s="1"/>
      <c r="B17" s="1"/>
      <c r="C17" s="1"/>
      <c r="D17" s="1"/>
      <c r="E17" s="1"/>
      <c r="F17" s="1"/>
      <c r="G17" s="1"/>
      <c r="H17" s="1"/>
      <c r="I17" s="51"/>
      <c r="J17" s="51"/>
      <c r="K17" s="51"/>
      <c r="L17" s="51"/>
      <c r="M17" s="5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8" t="s">
        <v>58</v>
      </c>
      <c r="B18" s="1"/>
      <c r="C18" s="1"/>
      <c r="D18" s="1"/>
      <c r="E18" s="1"/>
      <c r="F18" s="1"/>
      <c r="G18" s="1"/>
      <c r="H18" s="1"/>
      <c r="I18" s="100"/>
      <c r="J18" s="100"/>
      <c r="K18" s="100"/>
      <c r="L18" s="100"/>
      <c r="M18" s="5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8.25" customHeight="1">
      <c r="A19" s="1"/>
      <c r="B19" s="1"/>
      <c r="C19" s="1"/>
      <c r="D19" s="1"/>
      <c r="E19" s="1"/>
      <c r="F19" s="1"/>
      <c r="G19" s="1"/>
      <c r="H19" s="1"/>
      <c r="I19" s="1"/>
      <c r="J19" s="92"/>
      <c r="K19" s="92"/>
      <c r="L19" s="92"/>
      <c r="M19" s="9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7" customHeight="1">
      <c r="A20" s="246" t="s">
        <v>172</v>
      </c>
      <c r="B20" s="246"/>
      <c r="C20" s="246"/>
      <c r="D20" s="246"/>
      <c r="E20" s="246"/>
      <c r="F20" s="246"/>
      <c r="G20" s="246"/>
      <c r="H20" s="1"/>
      <c r="I20" s="1"/>
      <c r="J20" s="93"/>
      <c r="K20" s="93"/>
      <c r="L20" s="94"/>
      <c r="M20" s="9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7.5" customHeight="1">
      <c r="A21" s="8"/>
      <c r="B21" s="1"/>
      <c r="C21" s="1"/>
      <c r="D21" s="1"/>
      <c r="E21" s="1"/>
      <c r="F21" s="1"/>
      <c r="G21" s="1"/>
      <c r="H21" s="1"/>
      <c r="I21" s="1"/>
      <c r="J21" s="49"/>
      <c r="K21" s="49"/>
      <c r="L21" s="96"/>
      <c r="M21" s="9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8" t="s">
        <v>176</v>
      </c>
      <c r="B22" s="1"/>
      <c r="C22" s="1"/>
      <c r="D22" s="1"/>
      <c r="E22" s="1"/>
      <c r="F22" s="1"/>
      <c r="G22" s="1"/>
      <c r="H22" s="1"/>
      <c r="I22" s="1"/>
      <c r="J22" s="49"/>
      <c r="K22" s="49"/>
      <c r="L22" s="96"/>
      <c r="M22" s="9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</sheetData>
  <mergeCells count="8">
    <mergeCell ref="R5:U6"/>
    <mergeCell ref="F5:I6"/>
    <mergeCell ref="A3:U3"/>
    <mergeCell ref="A20:G20"/>
    <mergeCell ref="N5:Q6"/>
    <mergeCell ref="A6:A7"/>
    <mergeCell ref="J5:M6"/>
    <mergeCell ref="B5:E6"/>
  </mergeCells>
  <printOptions/>
  <pageMargins left="0.38" right="0.2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workbookViewId="0" topLeftCell="A3">
      <selection activeCell="F7" sqref="F7"/>
    </sheetView>
  </sheetViews>
  <sheetFormatPr defaultColWidth="9.00390625" defaultRowHeight="12.75"/>
  <cols>
    <col min="1" max="1" width="12.25390625" style="0" customWidth="1"/>
    <col min="2" max="2" width="13.25390625" style="0" customWidth="1"/>
    <col min="3" max="3" width="14.25390625" style="0" customWidth="1"/>
    <col min="4" max="4" width="10.375" style="0" customWidth="1"/>
    <col min="5" max="5" width="14.00390625" style="0" customWidth="1"/>
    <col min="6" max="6" width="12.625" style="0" customWidth="1"/>
    <col min="7" max="7" width="13.125" style="0" customWidth="1"/>
    <col min="8" max="8" width="12.125" style="0" customWidth="1"/>
    <col min="9" max="10" width="12.75390625" style="0" customWidth="1"/>
  </cols>
  <sheetData>
    <row r="1" spans="1:29" ht="15">
      <c r="A1" s="1"/>
      <c r="B1" s="1"/>
      <c r="C1" s="1"/>
      <c r="D1" s="1"/>
      <c r="E1" s="1"/>
      <c r="F1" s="1"/>
      <c r="G1" s="1"/>
      <c r="H1" s="1"/>
      <c r="I1" s="240" t="s">
        <v>32</v>
      </c>
      <c r="J1" s="1"/>
      <c r="K1" s="1"/>
      <c r="L1" s="1"/>
      <c r="M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C2" s="1"/>
    </row>
    <row r="3" spans="1:30" ht="44.25" customHeight="1">
      <c r="A3" s="257" t="s">
        <v>250</v>
      </c>
      <c r="B3" s="257"/>
      <c r="C3" s="257"/>
      <c r="D3" s="257"/>
      <c r="E3" s="257"/>
      <c r="F3" s="257"/>
      <c r="G3" s="257"/>
      <c r="H3" s="257"/>
      <c r="I3" s="257"/>
      <c r="J3" s="257"/>
      <c r="K3" s="151"/>
      <c r="L3" s="151"/>
      <c r="M3" s="151"/>
      <c r="AC3" s="74"/>
      <c r="AD3" s="74"/>
    </row>
    <row r="4" spans="1:30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AC4" s="1"/>
      <c r="AD4" s="1"/>
    </row>
    <row r="5" spans="1:30" ht="15">
      <c r="A5" s="152" t="s">
        <v>0</v>
      </c>
      <c r="B5" s="249" t="s">
        <v>1</v>
      </c>
      <c r="C5" s="250"/>
      <c r="D5" s="245"/>
      <c r="E5" s="295" t="s">
        <v>59</v>
      </c>
      <c r="F5" s="295"/>
      <c r="G5" s="296"/>
      <c r="H5" s="299" t="s">
        <v>54</v>
      </c>
      <c r="I5" s="295"/>
      <c r="J5" s="296"/>
      <c r="K5" s="1"/>
      <c r="L5" s="1"/>
      <c r="M5" s="1"/>
      <c r="AC5" s="1"/>
      <c r="AD5" s="1"/>
    </row>
    <row r="6" spans="1:30" ht="12.75">
      <c r="A6" s="247" t="s">
        <v>4</v>
      </c>
      <c r="B6" s="292"/>
      <c r="C6" s="293"/>
      <c r="D6" s="294"/>
      <c r="E6" s="297"/>
      <c r="F6" s="297"/>
      <c r="G6" s="298"/>
      <c r="H6" s="300"/>
      <c r="I6" s="297"/>
      <c r="J6" s="298"/>
      <c r="K6" s="1"/>
      <c r="L6" s="1"/>
      <c r="M6" s="1"/>
      <c r="AC6" s="1"/>
      <c r="AD6" s="1"/>
    </row>
    <row r="7" spans="1:30" ht="105">
      <c r="A7" s="248"/>
      <c r="B7" s="153" t="s">
        <v>291</v>
      </c>
      <c r="C7" s="153" t="s">
        <v>292</v>
      </c>
      <c r="D7" s="154" t="s">
        <v>293</v>
      </c>
      <c r="E7" s="153" t="s">
        <v>291</v>
      </c>
      <c r="F7" s="153" t="s">
        <v>292</v>
      </c>
      <c r="G7" s="154" t="s">
        <v>293</v>
      </c>
      <c r="H7" s="153" t="s">
        <v>291</v>
      </c>
      <c r="I7" s="153" t="s">
        <v>292</v>
      </c>
      <c r="J7" s="154" t="s">
        <v>293</v>
      </c>
      <c r="K7" s="1"/>
      <c r="L7" s="1"/>
      <c r="M7" s="1"/>
      <c r="AC7" s="1"/>
      <c r="AD7" s="1"/>
    </row>
    <row r="8" spans="1:30" ht="15">
      <c r="A8" s="155">
        <v>1</v>
      </c>
      <c r="B8" s="156">
        <v>2</v>
      </c>
      <c r="C8" s="157">
        <v>3</v>
      </c>
      <c r="D8" s="158">
        <v>4</v>
      </c>
      <c r="E8" s="159">
        <v>5</v>
      </c>
      <c r="F8" s="160">
        <v>6</v>
      </c>
      <c r="G8" s="161">
        <v>7</v>
      </c>
      <c r="H8" s="162">
        <v>8</v>
      </c>
      <c r="I8" s="160">
        <v>9</v>
      </c>
      <c r="J8" s="161">
        <v>10</v>
      </c>
      <c r="K8" s="1"/>
      <c r="L8" s="1"/>
      <c r="M8" s="1"/>
      <c r="AC8" s="1"/>
      <c r="AD8" s="1"/>
    </row>
    <row r="9" spans="1:30" ht="15">
      <c r="A9" s="163" t="s">
        <v>6</v>
      </c>
      <c r="B9" s="164">
        <v>100</v>
      </c>
      <c r="C9" s="164">
        <v>100</v>
      </c>
      <c r="D9" s="165">
        <f>C9-B9</f>
        <v>0</v>
      </c>
      <c r="E9" s="166">
        <v>100</v>
      </c>
      <c r="F9" s="166">
        <v>100</v>
      </c>
      <c r="G9" s="167">
        <f>F9-E9</f>
        <v>0</v>
      </c>
      <c r="H9" s="168">
        <v>100</v>
      </c>
      <c r="I9" s="168">
        <v>100</v>
      </c>
      <c r="J9" s="169">
        <v>0</v>
      </c>
      <c r="K9" s="6"/>
      <c r="L9" s="6"/>
      <c r="M9" s="6"/>
      <c r="AC9" s="6"/>
      <c r="AD9" s="6"/>
    </row>
    <row r="10" spans="1:30" ht="30">
      <c r="A10" s="170" t="s">
        <v>21</v>
      </c>
      <c r="B10" s="171">
        <v>100</v>
      </c>
      <c r="C10" s="171">
        <v>100</v>
      </c>
      <c r="D10" s="172">
        <f aca="true" t="shared" si="0" ref="D10:D16">C10-B10</f>
        <v>0</v>
      </c>
      <c r="E10" s="166">
        <v>100</v>
      </c>
      <c r="F10" s="166">
        <v>100</v>
      </c>
      <c r="G10" s="167">
        <f>F10-E10</f>
        <v>0</v>
      </c>
      <c r="H10" s="168">
        <v>100</v>
      </c>
      <c r="I10" s="168">
        <v>100</v>
      </c>
      <c r="J10" s="169">
        <v>0</v>
      </c>
      <c r="K10" s="6"/>
      <c r="L10" s="6"/>
      <c r="M10" s="6"/>
      <c r="AC10" s="6"/>
      <c r="AD10" s="6"/>
    </row>
    <row r="11" spans="1:30" ht="30">
      <c r="A11" s="170" t="s">
        <v>22</v>
      </c>
      <c r="B11" s="173">
        <v>89</v>
      </c>
      <c r="C11" s="173">
        <v>89</v>
      </c>
      <c r="D11" s="174">
        <f t="shared" si="0"/>
        <v>0</v>
      </c>
      <c r="E11" s="166" t="s">
        <v>56</v>
      </c>
      <c r="F11" s="166" t="s">
        <v>56</v>
      </c>
      <c r="G11" s="175" t="s">
        <v>56</v>
      </c>
      <c r="H11" s="168">
        <v>100</v>
      </c>
      <c r="I11" s="168">
        <v>100</v>
      </c>
      <c r="J11" s="169">
        <v>0</v>
      </c>
      <c r="K11" s="6"/>
      <c r="L11" s="6"/>
      <c r="M11" s="6"/>
      <c r="AC11" s="6"/>
      <c r="AD11" s="6"/>
    </row>
    <row r="12" spans="1:30" ht="30">
      <c r="A12" s="170" t="s">
        <v>9</v>
      </c>
      <c r="B12" s="173">
        <v>100</v>
      </c>
      <c r="C12" s="173">
        <v>100</v>
      </c>
      <c r="D12" s="174">
        <f t="shared" si="0"/>
        <v>0</v>
      </c>
      <c r="E12" s="166" t="s">
        <v>56</v>
      </c>
      <c r="F12" s="166" t="s">
        <v>56</v>
      </c>
      <c r="G12" s="175" t="s">
        <v>56</v>
      </c>
      <c r="H12" s="168" t="s">
        <v>56</v>
      </c>
      <c r="I12" s="168" t="s">
        <v>56</v>
      </c>
      <c r="J12" s="169" t="s">
        <v>56</v>
      </c>
      <c r="K12" s="6"/>
      <c r="L12" s="6"/>
      <c r="M12" s="6"/>
      <c r="AC12" s="6"/>
      <c r="AD12" s="6"/>
    </row>
    <row r="13" spans="1:30" ht="15">
      <c r="A13" s="170" t="s">
        <v>10</v>
      </c>
      <c r="B13" s="173">
        <v>100</v>
      </c>
      <c r="C13" s="173">
        <v>100</v>
      </c>
      <c r="D13" s="174">
        <f t="shared" si="0"/>
        <v>0</v>
      </c>
      <c r="E13" s="166">
        <v>100</v>
      </c>
      <c r="F13" s="166">
        <v>100</v>
      </c>
      <c r="G13" s="167">
        <f>F13-E13</f>
        <v>0</v>
      </c>
      <c r="H13" s="168" t="s">
        <v>56</v>
      </c>
      <c r="I13" s="168" t="s">
        <v>56</v>
      </c>
      <c r="J13" s="169" t="s">
        <v>56</v>
      </c>
      <c r="K13" s="6"/>
      <c r="L13" s="6"/>
      <c r="M13" s="6"/>
      <c r="AC13" s="6"/>
      <c r="AD13" s="6"/>
    </row>
    <row r="14" spans="1:30" ht="15">
      <c r="A14" s="170" t="s">
        <v>11</v>
      </c>
      <c r="B14" s="173">
        <v>100</v>
      </c>
      <c r="C14" s="173">
        <v>100</v>
      </c>
      <c r="D14" s="174">
        <f t="shared" si="0"/>
        <v>0</v>
      </c>
      <c r="E14" s="166">
        <v>100</v>
      </c>
      <c r="F14" s="166">
        <v>100</v>
      </c>
      <c r="G14" s="167">
        <f>F14-E14</f>
        <v>0</v>
      </c>
      <c r="H14" s="168">
        <v>100</v>
      </c>
      <c r="I14" s="168">
        <v>100</v>
      </c>
      <c r="J14" s="169">
        <v>0</v>
      </c>
      <c r="K14" s="6"/>
      <c r="L14" s="6"/>
      <c r="M14" s="6"/>
      <c r="AC14" s="6"/>
      <c r="AD14" s="6"/>
    </row>
    <row r="15" spans="1:30" ht="15">
      <c r="A15" s="170" t="s">
        <v>12</v>
      </c>
      <c r="B15" s="173">
        <v>100</v>
      </c>
      <c r="C15" s="173">
        <v>100</v>
      </c>
      <c r="D15" s="174">
        <f t="shared" si="0"/>
        <v>0</v>
      </c>
      <c r="E15" s="166" t="s">
        <v>56</v>
      </c>
      <c r="F15" s="166" t="s">
        <v>56</v>
      </c>
      <c r="G15" s="167" t="s">
        <v>56</v>
      </c>
      <c r="H15" s="168">
        <v>100</v>
      </c>
      <c r="I15" s="168">
        <v>100</v>
      </c>
      <c r="J15" s="169">
        <v>0</v>
      </c>
      <c r="K15" s="6"/>
      <c r="L15" s="6"/>
      <c r="M15" s="6"/>
      <c r="AC15" s="6"/>
      <c r="AD15" s="6"/>
    </row>
    <row r="16" spans="1:30" ht="15.75" thickBot="1">
      <c r="A16" s="176" t="s">
        <v>13</v>
      </c>
      <c r="B16" s="177">
        <v>100</v>
      </c>
      <c r="C16" s="177">
        <v>100</v>
      </c>
      <c r="D16" s="178">
        <f t="shared" si="0"/>
        <v>0</v>
      </c>
      <c r="E16" s="179">
        <v>100</v>
      </c>
      <c r="F16" s="179">
        <v>100</v>
      </c>
      <c r="G16" s="180">
        <f>F16-E16</f>
        <v>0</v>
      </c>
      <c r="H16" s="181">
        <v>100</v>
      </c>
      <c r="I16" s="181">
        <v>100</v>
      </c>
      <c r="J16" s="180">
        <v>0</v>
      </c>
      <c r="K16" s="6"/>
      <c r="L16" s="6"/>
      <c r="M16" s="6"/>
      <c r="AC16" s="6"/>
      <c r="AD16" s="6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AC19" s="1"/>
      <c r="AD19" s="1"/>
    </row>
  </sheetData>
  <mergeCells count="5">
    <mergeCell ref="A3:J3"/>
    <mergeCell ref="A6:A7"/>
    <mergeCell ref="B5:D6"/>
    <mergeCell ref="E5:G6"/>
    <mergeCell ref="H5:J6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8">
      <selection activeCell="C16" sqref="C16"/>
    </sheetView>
  </sheetViews>
  <sheetFormatPr defaultColWidth="9.00390625" defaultRowHeight="12.75"/>
  <cols>
    <col min="4" max="4" width="5.75390625" style="0" customWidth="1"/>
    <col min="7" max="7" width="5.75390625" style="0" customWidth="1"/>
    <col min="10" max="10" width="5.875" style="0" customWidth="1"/>
    <col min="13" max="13" width="5.75390625" style="0" customWidth="1"/>
    <col min="16" max="16" width="6.25390625" style="0" customWidth="1"/>
  </cols>
  <sheetData>
    <row r="2" ht="15">
      <c r="O2" s="240" t="s">
        <v>147</v>
      </c>
    </row>
    <row r="3" ht="12.75">
      <c r="P3" s="1"/>
    </row>
    <row r="4" ht="12.75">
      <c r="P4" s="1"/>
    </row>
    <row r="5" spans="1:16" ht="12.75" customHeight="1">
      <c r="A5" s="257" t="s">
        <v>251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</row>
    <row r="6" spans="1:16" ht="21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</row>
    <row r="7" spans="1:16" ht="12.75">
      <c r="A7" s="48"/>
      <c r="B7" s="1"/>
      <c r="C7" s="1"/>
      <c r="D7" s="1"/>
      <c r="E7" s="1"/>
      <c r="F7" s="1"/>
      <c r="G7" s="1"/>
      <c r="H7" s="1"/>
      <c r="I7" s="1"/>
      <c r="J7" s="1"/>
      <c r="K7" s="50"/>
      <c r="L7" s="50"/>
      <c r="M7" s="96"/>
      <c r="N7" s="1"/>
      <c r="O7" s="1"/>
      <c r="P7" s="1"/>
    </row>
    <row r="8" spans="1:16" ht="12.75">
      <c r="A8" s="9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5.5">
      <c r="A10" s="20" t="s">
        <v>0</v>
      </c>
      <c r="B10" s="290" t="s">
        <v>2</v>
      </c>
      <c r="C10" s="265"/>
      <c r="D10" s="266"/>
      <c r="E10" s="290" t="s">
        <v>61</v>
      </c>
      <c r="F10" s="265"/>
      <c r="G10" s="266"/>
      <c r="H10" s="290" t="s">
        <v>3</v>
      </c>
      <c r="I10" s="265"/>
      <c r="J10" s="266"/>
      <c r="K10" s="265" t="s">
        <v>14</v>
      </c>
      <c r="L10" s="265"/>
      <c r="M10" s="266"/>
      <c r="N10" s="290" t="s">
        <v>164</v>
      </c>
      <c r="O10" s="265"/>
      <c r="P10" s="266"/>
    </row>
    <row r="11" spans="1:16" ht="12.75">
      <c r="A11" s="281" t="s">
        <v>4</v>
      </c>
      <c r="B11" s="291"/>
      <c r="C11" s="267"/>
      <c r="D11" s="268"/>
      <c r="E11" s="291"/>
      <c r="F11" s="267"/>
      <c r="G11" s="268"/>
      <c r="H11" s="291"/>
      <c r="I11" s="267"/>
      <c r="J11" s="268"/>
      <c r="K11" s="267"/>
      <c r="L11" s="267"/>
      <c r="M11" s="268"/>
      <c r="N11" s="291"/>
      <c r="O11" s="267"/>
      <c r="P11" s="268"/>
    </row>
    <row r="12" spans="1:16" ht="78.75">
      <c r="A12" s="282"/>
      <c r="B12" s="7" t="s">
        <v>120</v>
      </c>
      <c r="C12" s="7" t="s">
        <v>216</v>
      </c>
      <c r="D12" s="19" t="s">
        <v>293</v>
      </c>
      <c r="E12" s="7" t="s">
        <v>120</v>
      </c>
      <c r="F12" s="7" t="s">
        <v>216</v>
      </c>
      <c r="G12" s="19" t="s">
        <v>293</v>
      </c>
      <c r="H12" s="7" t="s">
        <v>120</v>
      </c>
      <c r="I12" s="7" t="s">
        <v>216</v>
      </c>
      <c r="J12" s="19" t="s">
        <v>293</v>
      </c>
      <c r="K12" s="7" t="s">
        <v>120</v>
      </c>
      <c r="L12" s="7" t="s">
        <v>216</v>
      </c>
      <c r="M12" s="19" t="s">
        <v>293</v>
      </c>
      <c r="N12" s="7" t="s">
        <v>120</v>
      </c>
      <c r="O12" s="7" t="s">
        <v>216</v>
      </c>
      <c r="P12" s="19" t="s">
        <v>293</v>
      </c>
    </row>
    <row r="13" spans="1:16" ht="12.75">
      <c r="A13" s="21">
        <v>1</v>
      </c>
      <c r="B13" s="105">
        <v>7</v>
      </c>
      <c r="C13" s="3">
        <v>8</v>
      </c>
      <c r="D13" s="16">
        <v>9</v>
      </c>
      <c r="E13" s="105">
        <f aca="true" t="shared" si="0" ref="E13:J13">D13+1</f>
        <v>10</v>
      </c>
      <c r="F13" s="3">
        <f t="shared" si="0"/>
        <v>11</v>
      </c>
      <c r="G13" s="16">
        <f t="shared" si="0"/>
        <v>12</v>
      </c>
      <c r="H13" s="105">
        <f t="shared" si="0"/>
        <v>13</v>
      </c>
      <c r="I13" s="3">
        <f t="shared" si="0"/>
        <v>14</v>
      </c>
      <c r="J13" s="16">
        <f t="shared" si="0"/>
        <v>15</v>
      </c>
      <c r="K13" s="77">
        <v>4</v>
      </c>
      <c r="L13" s="77">
        <v>5</v>
      </c>
      <c r="M13" s="16">
        <v>6</v>
      </c>
      <c r="N13" s="105">
        <v>1</v>
      </c>
      <c r="O13" s="3">
        <v>2</v>
      </c>
      <c r="P13" s="16">
        <v>3</v>
      </c>
    </row>
    <row r="14" spans="1:16" ht="14.25">
      <c r="A14" s="106" t="s">
        <v>6</v>
      </c>
      <c r="B14" s="193">
        <v>100</v>
      </c>
      <c r="C14" s="190">
        <v>100</v>
      </c>
      <c r="D14" s="191">
        <f>C14-B14</f>
        <v>0</v>
      </c>
      <c r="E14" s="194">
        <v>100</v>
      </c>
      <c r="F14" s="194">
        <v>100</v>
      </c>
      <c r="G14" s="191">
        <f>F14-E14</f>
        <v>0</v>
      </c>
      <c r="H14" s="190">
        <v>100</v>
      </c>
      <c r="I14" s="190">
        <v>100</v>
      </c>
      <c r="J14" s="191">
        <f>I14-H14</f>
        <v>0</v>
      </c>
      <c r="K14" s="192">
        <v>100</v>
      </c>
      <c r="L14" s="192">
        <v>100</v>
      </c>
      <c r="M14" s="191">
        <v>0</v>
      </c>
      <c r="N14" s="189">
        <v>100</v>
      </c>
      <c r="O14" s="190">
        <v>100</v>
      </c>
      <c r="P14" s="191">
        <v>0</v>
      </c>
    </row>
    <row r="15" spans="1:16" ht="25.5">
      <c r="A15" s="22" t="s">
        <v>21</v>
      </c>
      <c r="B15" s="200">
        <v>100</v>
      </c>
      <c r="C15" s="201">
        <v>100</v>
      </c>
      <c r="D15" s="199">
        <f aca="true" t="shared" si="1" ref="D15:D21">C15-B15</f>
        <v>0</v>
      </c>
      <c r="E15" s="202">
        <v>100</v>
      </c>
      <c r="F15" s="202">
        <v>100</v>
      </c>
      <c r="G15" s="199">
        <f aca="true" t="shared" si="2" ref="G15:G21">F15-E15</f>
        <v>0</v>
      </c>
      <c r="H15" s="201">
        <v>100</v>
      </c>
      <c r="I15" s="201">
        <v>100</v>
      </c>
      <c r="J15" s="199">
        <f aca="true" t="shared" si="3" ref="J15:J21">I15-H15</f>
        <v>0</v>
      </c>
      <c r="K15" s="198">
        <v>100</v>
      </c>
      <c r="L15" s="198">
        <v>100</v>
      </c>
      <c r="M15" s="199">
        <v>0</v>
      </c>
      <c r="N15" s="195" t="s">
        <v>56</v>
      </c>
      <c r="O15" s="196" t="s">
        <v>56</v>
      </c>
      <c r="P15" s="197" t="s">
        <v>56</v>
      </c>
    </row>
    <row r="16" spans="1:16" ht="25.5">
      <c r="A16" s="22" t="s">
        <v>22</v>
      </c>
      <c r="B16" s="205">
        <v>95.1</v>
      </c>
      <c r="C16" s="205">
        <v>95.1</v>
      </c>
      <c r="D16" s="204">
        <f t="shared" si="1"/>
        <v>0</v>
      </c>
      <c r="E16" s="206">
        <v>100</v>
      </c>
      <c r="F16" s="206">
        <v>100</v>
      </c>
      <c r="G16" s="204">
        <f t="shared" si="2"/>
        <v>0</v>
      </c>
      <c r="H16" s="201">
        <v>100</v>
      </c>
      <c r="I16" s="205">
        <v>100</v>
      </c>
      <c r="J16" s="204">
        <f t="shared" si="3"/>
        <v>0</v>
      </c>
      <c r="K16" s="203">
        <v>95.3</v>
      </c>
      <c r="L16" s="203">
        <v>95.3</v>
      </c>
      <c r="M16" s="204">
        <f>L16-K16</f>
        <v>0</v>
      </c>
      <c r="N16" s="195" t="s">
        <v>56</v>
      </c>
      <c r="O16" s="196" t="s">
        <v>56</v>
      </c>
      <c r="P16" s="197" t="s">
        <v>56</v>
      </c>
    </row>
    <row r="17" spans="1:16" ht="38.25">
      <c r="A17" s="22" t="s">
        <v>9</v>
      </c>
      <c r="B17" s="207">
        <v>100</v>
      </c>
      <c r="C17" s="205">
        <v>100</v>
      </c>
      <c r="D17" s="204">
        <f t="shared" si="1"/>
        <v>0</v>
      </c>
      <c r="E17" s="206">
        <v>93.82</v>
      </c>
      <c r="F17" s="206">
        <v>93.82</v>
      </c>
      <c r="G17" s="204">
        <f t="shared" si="2"/>
        <v>0</v>
      </c>
      <c r="H17" s="205">
        <v>100</v>
      </c>
      <c r="I17" s="205">
        <v>100</v>
      </c>
      <c r="J17" s="204">
        <f t="shared" si="3"/>
        <v>0</v>
      </c>
      <c r="K17" s="203">
        <v>100</v>
      </c>
      <c r="L17" s="203">
        <v>100</v>
      </c>
      <c r="M17" s="204">
        <v>0</v>
      </c>
      <c r="N17" s="195" t="s">
        <v>56</v>
      </c>
      <c r="O17" s="196" t="s">
        <v>56</v>
      </c>
      <c r="P17" s="197" t="s">
        <v>56</v>
      </c>
    </row>
    <row r="18" spans="1:16" ht="14.25">
      <c r="A18" s="22" t="s">
        <v>10</v>
      </c>
      <c r="B18" s="207">
        <v>100</v>
      </c>
      <c r="C18" s="205">
        <v>100</v>
      </c>
      <c r="D18" s="204">
        <f t="shared" si="1"/>
        <v>0</v>
      </c>
      <c r="E18" s="206">
        <v>100</v>
      </c>
      <c r="F18" s="206">
        <v>100</v>
      </c>
      <c r="G18" s="204">
        <f t="shared" si="2"/>
        <v>0</v>
      </c>
      <c r="H18" s="205">
        <v>100</v>
      </c>
      <c r="I18" s="205">
        <v>100</v>
      </c>
      <c r="J18" s="204">
        <f t="shared" si="3"/>
        <v>0</v>
      </c>
      <c r="K18" s="203">
        <v>100</v>
      </c>
      <c r="L18" s="203">
        <v>100</v>
      </c>
      <c r="M18" s="204">
        <v>0</v>
      </c>
      <c r="N18" s="208">
        <v>100</v>
      </c>
      <c r="O18" s="205">
        <v>100</v>
      </c>
      <c r="P18" s="204">
        <v>0</v>
      </c>
    </row>
    <row r="19" spans="1:16" ht="14.25">
      <c r="A19" s="22" t="s">
        <v>11</v>
      </c>
      <c r="B19" s="207">
        <v>100</v>
      </c>
      <c r="C19" s="205">
        <v>100</v>
      </c>
      <c r="D19" s="204">
        <f t="shared" si="1"/>
        <v>0</v>
      </c>
      <c r="E19" s="206">
        <v>100</v>
      </c>
      <c r="F19" s="206">
        <v>100</v>
      </c>
      <c r="G19" s="204">
        <f t="shared" si="2"/>
        <v>0</v>
      </c>
      <c r="H19" s="205">
        <v>100</v>
      </c>
      <c r="I19" s="205">
        <v>100</v>
      </c>
      <c r="J19" s="204">
        <f t="shared" si="3"/>
        <v>0</v>
      </c>
      <c r="K19" s="198">
        <v>100</v>
      </c>
      <c r="L19" s="198">
        <v>100</v>
      </c>
      <c r="M19" s="199">
        <v>0</v>
      </c>
      <c r="N19" s="195" t="s">
        <v>56</v>
      </c>
      <c r="O19" s="196" t="s">
        <v>56</v>
      </c>
      <c r="P19" s="197" t="s">
        <v>56</v>
      </c>
    </row>
    <row r="20" spans="1:16" ht="14.25">
      <c r="A20" s="22" t="s">
        <v>12</v>
      </c>
      <c r="B20" s="207">
        <v>100</v>
      </c>
      <c r="C20" s="205">
        <v>100</v>
      </c>
      <c r="D20" s="204">
        <f t="shared" si="1"/>
        <v>0</v>
      </c>
      <c r="E20" s="206">
        <v>100</v>
      </c>
      <c r="F20" s="206">
        <v>100</v>
      </c>
      <c r="G20" s="204">
        <f t="shared" si="2"/>
        <v>0</v>
      </c>
      <c r="H20" s="205">
        <v>100</v>
      </c>
      <c r="I20" s="205">
        <v>100</v>
      </c>
      <c r="J20" s="204">
        <f t="shared" si="3"/>
        <v>0</v>
      </c>
      <c r="K20" s="198">
        <v>100</v>
      </c>
      <c r="L20" s="198">
        <v>100</v>
      </c>
      <c r="M20" s="199">
        <v>0</v>
      </c>
      <c r="N20" s="195" t="s">
        <v>56</v>
      </c>
      <c r="O20" s="196" t="s">
        <v>56</v>
      </c>
      <c r="P20" s="197" t="s">
        <v>56</v>
      </c>
    </row>
    <row r="21" spans="1:16" ht="15" thickBot="1">
      <c r="A21" s="23" t="s">
        <v>13</v>
      </c>
      <c r="B21" s="214">
        <v>100</v>
      </c>
      <c r="C21" s="215">
        <v>100</v>
      </c>
      <c r="D21" s="216">
        <f t="shared" si="1"/>
        <v>0</v>
      </c>
      <c r="E21" s="217">
        <v>93</v>
      </c>
      <c r="F21" s="217">
        <v>93</v>
      </c>
      <c r="G21" s="216">
        <f t="shared" si="2"/>
        <v>0</v>
      </c>
      <c r="H21" s="215">
        <v>100</v>
      </c>
      <c r="I21" s="215">
        <v>100</v>
      </c>
      <c r="J21" s="216">
        <f t="shared" si="3"/>
        <v>0</v>
      </c>
      <c r="K21" s="212">
        <v>100</v>
      </c>
      <c r="L21" s="212">
        <v>100</v>
      </c>
      <c r="M21" s="213">
        <v>0</v>
      </c>
      <c r="N21" s="209" t="s">
        <v>56</v>
      </c>
      <c r="O21" s="210" t="s">
        <v>56</v>
      </c>
      <c r="P21" s="211" t="s">
        <v>56</v>
      </c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7">
    <mergeCell ref="A5:P6"/>
    <mergeCell ref="A11:A12"/>
    <mergeCell ref="N10:P11"/>
    <mergeCell ref="K10:M11"/>
    <mergeCell ref="H10:J11"/>
    <mergeCell ref="B10:D11"/>
    <mergeCell ref="E10:G1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4">
      <selection activeCell="F14" sqref="F14"/>
    </sheetView>
  </sheetViews>
  <sheetFormatPr defaultColWidth="9.00390625" defaultRowHeight="12.75"/>
  <cols>
    <col min="2" max="2" width="10.375" style="0" customWidth="1"/>
    <col min="3" max="3" width="9.875" style="0" customWidth="1"/>
    <col min="4" max="4" width="8.00390625" style="0" customWidth="1"/>
    <col min="5" max="5" width="12.00390625" style="0" customWidth="1"/>
    <col min="6" max="6" width="11.125" style="0" customWidth="1"/>
    <col min="7" max="7" width="10.375" style="0" customWidth="1"/>
    <col min="8" max="8" width="8.625" style="0" customWidth="1"/>
    <col min="9" max="9" width="11.875" style="0" customWidth="1"/>
    <col min="10" max="10" width="10.125" style="0" customWidth="1"/>
    <col min="11" max="11" width="11.00390625" style="0" customWidth="1"/>
    <col min="12" max="12" width="7.75390625" style="0" customWidth="1"/>
    <col min="13" max="13" width="9.25390625" style="0" customWidth="1"/>
  </cols>
  <sheetData>
    <row r="1" spans="1:17" ht="20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241" t="s">
        <v>148</v>
      </c>
      <c r="N1" s="9"/>
      <c r="O1" s="9"/>
      <c r="Q1" s="9"/>
    </row>
    <row r="2" spans="1:17" ht="46.5" customHeight="1">
      <c r="A2" s="301" t="s">
        <v>252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9"/>
      <c r="O2" s="9"/>
      <c r="P2" s="9"/>
      <c r="Q2" s="9"/>
    </row>
    <row r="3" spans="1:17" ht="21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9"/>
      <c r="O3" s="9"/>
      <c r="P3" s="9"/>
      <c r="Q3" s="9"/>
    </row>
    <row r="4" spans="1:17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9"/>
      <c r="P4" s="9"/>
      <c r="Q4" s="9"/>
    </row>
    <row r="5" spans="1:17" ht="36.75" customHeight="1">
      <c r="A5" s="218" t="s">
        <v>0</v>
      </c>
      <c r="B5" s="302" t="s">
        <v>1</v>
      </c>
      <c r="C5" s="302"/>
      <c r="D5" s="302"/>
      <c r="E5" s="303"/>
      <c r="F5" s="304" t="s">
        <v>59</v>
      </c>
      <c r="G5" s="305"/>
      <c r="H5" s="305"/>
      <c r="I5" s="306"/>
      <c r="J5" s="307" t="s">
        <v>54</v>
      </c>
      <c r="K5" s="302"/>
      <c r="L5" s="302"/>
      <c r="M5" s="303"/>
      <c r="N5" s="9"/>
      <c r="O5" s="9"/>
      <c r="P5" s="9"/>
      <c r="Q5" s="9"/>
    </row>
    <row r="6" spans="1:17" ht="71.25">
      <c r="A6" s="219" t="s">
        <v>4</v>
      </c>
      <c r="B6" s="220" t="s">
        <v>167</v>
      </c>
      <c r="C6" s="220" t="s">
        <v>217</v>
      </c>
      <c r="D6" s="221" t="s">
        <v>5</v>
      </c>
      <c r="E6" s="222" t="s">
        <v>253</v>
      </c>
      <c r="F6" s="220" t="s">
        <v>168</v>
      </c>
      <c r="G6" s="220" t="s">
        <v>218</v>
      </c>
      <c r="H6" s="223" t="s">
        <v>5</v>
      </c>
      <c r="I6" s="224" t="s">
        <v>165</v>
      </c>
      <c r="J6" s="220" t="s">
        <v>168</v>
      </c>
      <c r="K6" s="220" t="s">
        <v>218</v>
      </c>
      <c r="L6" s="223" t="s">
        <v>5</v>
      </c>
      <c r="M6" s="224" t="s">
        <v>254</v>
      </c>
      <c r="N6" s="9"/>
      <c r="O6" s="9"/>
      <c r="P6" s="9"/>
      <c r="Q6" s="9"/>
    </row>
    <row r="7" spans="1:17" ht="14.25">
      <c r="A7" s="225">
        <v>1</v>
      </c>
      <c r="B7" s="226">
        <v>2</v>
      </c>
      <c r="C7" s="220">
        <v>3</v>
      </c>
      <c r="D7" s="220">
        <v>4</v>
      </c>
      <c r="E7" s="227">
        <v>5</v>
      </c>
      <c r="F7" s="228">
        <v>6</v>
      </c>
      <c r="G7" s="229">
        <v>7</v>
      </c>
      <c r="H7" s="229">
        <v>8</v>
      </c>
      <c r="I7" s="230">
        <v>9</v>
      </c>
      <c r="J7" s="231">
        <v>10</v>
      </c>
      <c r="K7" s="220">
        <v>11</v>
      </c>
      <c r="L7" s="220">
        <v>12</v>
      </c>
      <c r="M7" s="227">
        <v>13</v>
      </c>
      <c r="N7" s="9"/>
      <c r="O7" s="9"/>
      <c r="P7" s="9"/>
      <c r="Q7" s="9"/>
    </row>
    <row r="8" spans="1:17" ht="14.25">
      <c r="A8" s="232" t="s">
        <v>6</v>
      </c>
      <c r="B8" s="202" t="s">
        <v>130</v>
      </c>
      <c r="C8" s="202" t="s">
        <v>193</v>
      </c>
      <c r="D8" s="201">
        <f>15.72/13.05*100</f>
        <v>120.45977011494253</v>
      </c>
      <c r="E8" s="233">
        <f>15.72-13.05</f>
        <v>2.67</v>
      </c>
      <c r="F8" s="206" t="s">
        <v>166</v>
      </c>
      <c r="G8" s="206" t="s">
        <v>219</v>
      </c>
      <c r="H8" s="205" t="s">
        <v>56</v>
      </c>
      <c r="I8" s="205" t="s">
        <v>56</v>
      </c>
      <c r="J8" s="206" t="s">
        <v>143</v>
      </c>
      <c r="K8" s="206" t="s">
        <v>223</v>
      </c>
      <c r="L8" s="205" t="s">
        <v>56</v>
      </c>
      <c r="M8" s="234" t="s">
        <v>56</v>
      </c>
      <c r="N8" s="11"/>
      <c r="O8" s="11"/>
      <c r="P8" s="11"/>
      <c r="Q8" s="11"/>
    </row>
    <row r="9" spans="1:17" ht="28.5">
      <c r="A9" s="232" t="s">
        <v>21</v>
      </c>
      <c r="B9" s="202" t="s">
        <v>124</v>
      </c>
      <c r="C9" s="202" t="s">
        <v>124</v>
      </c>
      <c r="D9" s="201">
        <v>100</v>
      </c>
      <c r="E9" s="233">
        <v>0</v>
      </c>
      <c r="F9" s="206" t="s">
        <v>146</v>
      </c>
      <c r="G9" s="206" t="s">
        <v>221</v>
      </c>
      <c r="H9" s="205">
        <v>100</v>
      </c>
      <c r="I9" s="234">
        <v>0</v>
      </c>
      <c r="J9" s="235" t="s">
        <v>144</v>
      </c>
      <c r="K9" s="235" t="s">
        <v>224</v>
      </c>
      <c r="L9" s="205">
        <v>100</v>
      </c>
      <c r="M9" s="234">
        <v>0</v>
      </c>
      <c r="N9" s="11"/>
      <c r="O9" s="11"/>
      <c r="P9" s="11"/>
      <c r="Q9" s="11"/>
    </row>
    <row r="10" spans="1:17" ht="28.5">
      <c r="A10" s="232" t="s">
        <v>22</v>
      </c>
      <c r="B10" s="202" t="s">
        <v>125</v>
      </c>
      <c r="C10" s="202" t="s">
        <v>125</v>
      </c>
      <c r="D10" s="201">
        <v>100</v>
      </c>
      <c r="E10" s="233">
        <v>0</v>
      </c>
      <c r="F10" s="206" t="s">
        <v>56</v>
      </c>
      <c r="G10" s="206" t="s">
        <v>56</v>
      </c>
      <c r="H10" s="206" t="s">
        <v>56</v>
      </c>
      <c r="I10" s="234" t="s">
        <v>56</v>
      </c>
      <c r="J10" s="235" t="s">
        <v>140</v>
      </c>
      <c r="K10" s="235" t="s">
        <v>140</v>
      </c>
      <c r="L10" s="205">
        <v>100</v>
      </c>
      <c r="M10" s="234">
        <v>0</v>
      </c>
      <c r="N10" s="11"/>
      <c r="O10" s="11"/>
      <c r="P10" s="11"/>
      <c r="Q10" s="11"/>
    </row>
    <row r="11" spans="1:17" ht="42.75">
      <c r="A11" s="232" t="s">
        <v>9</v>
      </c>
      <c r="B11" s="206" t="s">
        <v>123</v>
      </c>
      <c r="C11" s="206" t="s">
        <v>123</v>
      </c>
      <c r="D11" s="205">
        <v>100</v>
      </c>
      <c r="E11" s="234">
        <v>0</v>
      </c>
      <c r="F11" s="206" t="s">
        <v>56</v>
      </c>
      <c r="G11" s="206" t="s">
        <v>56</v>
      </c>
      <c r="H11" s="206" t="s">
        <v>56</v>
      </c>
      <c r="I11" s="234" t="s">
        <v>56</v>
      </c>
      <c r="J11" s="235" t="s">
        <v>56</v>
      </c>
      <c r="K11" s="235" t="s">
        <v>56</v>
      </c>
      <c r="L11" s="205" t="s">
        <v>56</v>
      </c>
      <c r="M11" s="234" t="s">
        <v>56</v>
      </c>
      <c r="N11" s="11"/>
      <c r="O11" s="11"/>
      <c r="P11" s="11"/>
      <c r="Q11" s="11"/>
    </row>
    <row r="12" spans="1:17" ht="28.5">
      <c r="A12" s="232" t="s">
        <v>10</v>
      </c>
      <c r="B12" s="206" t="s">
        <v>127</v>
      </c>
      <c r="C12" s="206" t="s">
        <v>127</v>
      </c>
      <c r="D12" s="205">
        <v>100</v>
      </c>
      <c r="E12" s="234">
        <v>0</v>
      </c>
      <c r="F12" s="206" t="s">
        <v>56</v>
      </c>
      <c r="G12" s="206" t="s">
        <v>56</v>
      </c>
      <c r="H12" s="205" t="s">
        <v>56</v>
      </c>
      <c r="I12" s="234" t="s">
        <v>56</v>
      </c>
      <c r="J12" s="206" t="s">
        <v>56</v>
      </c>
      <c r="K12" s="206" t="s">
        <v>56</v>
      </c>
      <c r="L12" s="205" t="s">
        <v>56</v>
      </c>
      <c r="M12" s="234" t="s">
        <v>56</v>
      </c>
      <c r="N12" s="11"/>
      <c r="O12" s="11"/>
      <c r="P12" s="11"/>
      <c r="Q12" s="11"/>
    </row>
    <row r="13" spans="1:17" ht="28.5">
      <c r="A13" s="232" t="s">
        <v>11</v>
      </c>
      <c r="B13" s="206" t="s">
        <v>129</v>
      </c>
      <c r="C13" s="206" t="s">
        <v>226</v>
      </c>
      <c r="D13" s="205">
        <f>14.32/14.32*100</f>
        <v>100</v>
      </c>
      <c r="E13" s="234">
        <f>14.32-14.32</f>
        <v>0</v>
      </c>
      <c r="F13" s="206" t="s">
        <v>60</v>
      </c>
      <c r="G13" s="206" t="s">
        <v>220</v>
      </c>
      <c r="H13" s="205">
        <f>100</f>
        <v>100</v>
      </c>
      <c r="I13" s="234">
        <v>0</v>
      </c>
      <c r="J13" s="235" t="s">
        <v>139</v>
      </c>
      <c r="K13" s="235" t="s">
        <v>139</v>
      </c>
      <c r="L13" s="205">
        <v>100</v>
      </c>
      <c r="M13" s="234">
        <v>0</v>
      </c>
      <c r="N13" s="11"/>
      <c r="O13" s="11"/>
      <c r="P13" s="11"/>
      <c r="Q13" s="11"/>
    </row>
    <row r="14" spans="1:17" ht="14.25">
      <c r="A14" s="232" t="s">
        <v>12</v>
      </c>
      <c r="B14" s="206" t="s">
        <v>128</v>
      </c>
      <c r="C14" s="206" t="s">
        <v>225</v>
      </c>
      <c r="D14" s="205">
        <v>100</v>
      </c>
      <c r="E14" s="234">
        <v>0</v>
      </c>
      <c r="F14" s="206" t="s">
        <v>56</v>
      </c>
      <c r="G14" s="206" t="s">
        <v>56</v>
      </c>
      <c r="H14" s="206" t="s">
        <v>56</v>
      </c>
      <c r="I14" s="234" t="s">
        <v>56</v>
      </c>
      <c r="J14" s="235" t="s">
        <v>141</v>
      </c>
      <c r="K14" s="235" t="s">
        <v>141</v>
      </c>
      <c r="L14" s="205">
        <v>100</v>
      </c>
      <c r="M14" s="234">
        <v>0</v>
      </c>
      <c r="N14" s="11"/>
      <c r="O14" s="11"/>
      <c r="P14" s="11"/>
      <c r="Q14" s="11"/>
    </row>
    <row r="15" spans="1:17" ht="15" thickBot="1">
      <c r="A15" s="236" t="s">
        <v>13</v>
      </c>
      <c r="B15" s="217" t="s">
        <v>126</v>
      </c>
      <c r="C15" s="217" t="s">
        <v>126</v>
      </c>
      <c r="D15" s="215">
        <f>17.7/17.7*100</f>
        <v>100</v>
      </c>
      <c r="E15" s="237">
        <f>17.7-17.7</f>
        <v>0</v>
      </c>
      <c r="F15" s="217" t="s">
        <v>60</v>
      </c>
      <c r="G15" s="217" t="s">
        <v>220</v>
      </c>
      <c r="H15" s="215">
        <v>100</v>
      </c>
      <c r="I15" s="237">
        <v>0</v>
      </c>
      <c r="J15" s="238" t="s">
        <v>142</v>
      </c>
      <c r="K15" s="238" t="s">
        <v>142</v>
      </c>
      <c r="L15" s="215">
        <v>100</v>
      </c>
      <c r="M15" s="237">
        <v>0</v>
      </c>
      <c r="N15" s="11"/>
      <c r="O15" s="11"/>
      <c r="P15" s="11"/>
      <c r="Q15" s="11"/>
    </row>
    <row r="16" spans="1:17" ht="12.75">
      <c r="A16" s="48"/>
      <c r="B16" s="30"/>
      <c r="C16" s="49"/>
      <c r="D16" s="50"/>
      <c r="E16" s="30"/>
      <c r="F16" s="51"/>
      <c r="G16" s="51"/>
      <c r="H16" s="50"/>
      <c r="I16" s="49"/>
      <c r="J16" s="49"/>
      <c r="K16" s="49"/>
      <c r="L16" s="50"/>
      <c r="M16" s="49"/>
      <c r="N16" s="11"/>
      <c r="O16" s="11"/>
      <c r="P16" s="11"/>
      <c r="Q16" s="11"/>
    </row>
    <row r="17" spans="1:17" ht="12.75">
      <c r="A17" s="8" t="s">
        <v>222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</sheetData>
  <mergeCells count="4">
    <mergeCell ref="A2:M2"/>
    <mergeCell ref="B5:E5"/>
    <mergeCell ref="F5:I5"/>
    <mergeCell ref="J5:M5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2">
      <selection activeCell="L10" sqref="L10"/>
    </sheetView>
  </sheetViews>
  <sheetFormatPr defaultColWidth="9.00390625" defaultRowHeight="12.75"/>
  <cols>
    <col min="2" max="2" width="6.875" style="0" customWidth="1"/>
    <col min="3" max="3" width="7.00390625" style="0" customWidth="1"/>
    <col min="4" max="4" width="5.625" style="0" customWidth="1"/>
    <col min="5" max="5" width="5.875" style="0" customWidth="1"/>
    <col min="6" max="6" width="7.25390625" style="0" customWidth="1"/>
    <col min="7" max="7" width="7.125" style="0" customWidth="1"/>
    <col min="8" max="8" width="5.375" style="0" customWidth="1"/>
    <col min="9" max="9" width="6.375" style="0" customWidth="1"/>
    <col min="10" max="11" width="7.75390625" style="0" customWidth="1"/>
    <col min="12" max="12" width="6.375" style="0" customWidth="1"/>
    <col min="13" max="13" width="5.875" style="0" customWidth="1"/>
    <col min="14" max="14" width="7.625" style="0" customWidth="1"/>
    <col min="15" max="15" width="7.375" style="0" customWidth="1"/>
    <col min="16" max="16" width="5.875" style="0" customWidth="1"/>
    <col min="17" max="17" width="6.625" style="0" customWidth="1"/>
    <col min="18" max="18" width="7.25390625" style="0" customWidth="1"/>
    <col min="19" max="19" width="7.00390625" style="0" customWidth="1"/>
    <col min="20" max="20" width="6.00390625" style="0" customWidth="1"/>
    <col min="21" max="21" width="6.125" style="0" customWidth="1"/>
  </cols>
  <sheetData>
    <row r="1" spans="1:29" ht="15">
      <c r="A1" s="242"/>
      <c r="B1" s="242"/>
      <c r="C1" s="242"/>
      <c r="D1" s="242"/>
      <c r="E1" s="242"/>
      <c r="F1" s="242"/>
      <c r="H1" s="242"/>
      <c r="I1" s="242"/>
      <c r="J1" s="11"/>
      <c r="K1" s="11"/>
      <c r="L1" s="11"/>
      <c r="M1" s="11"/>
      <c r="N1" s="11"/>
      <c r="O1" s="11"/>
      <c r="Q1" s="11"/>
      <c r="R1" s="109"/>
      <c r="S1" s="109"/>
      <c r="T1" s="110"/>
      <c r="U1" s="109"/>
      <c r="V1" s="109"/>
      <c r="W1" s="109"/>
      <c r="X1" s="110"/>
      <c r="Y1" s="109"/>
      <c r="Z1" s="109"/>
      <c r="AA1" s="109"/>
      <c r="AB1" s="110"/>
      <c r="AC1" s="109"/>
    </row>
    <row r="2" spans="1:29" ht="15">
      <c r="A2" s="243"/>
      <c r="B2" s="243"/>
      <c r="C2" s="243"/>
      <c r="D2" s="243"/>
      <c r="E2" s="243"/>
      <c r="F2" s="243"/>
      <c r="G2" s="243"/>
      <c r="H2" s="243"/>
      <c r="I2" s="243"/>
      <c r="J2" s="9"/>
      <c r="K2" s="9"/>
      <c r="L2" s="9"/>
      <c r="M2" s="9"/>
      <c r="N2" s="9"/>
      <c r="O2" s="9"/>
      <c r="P2" s="9"/>
      <c r="Q2" s="9"/>
      <c r="R2" s="9"/>
      <c r="S2" s="9"/>
      <c r="T2" s="241" t="s">
        <v>169</v>
      </c>
      <c r="U2" s="9"/>
      <c r="V2" s="9"/>
      <c r="W2" s="9"/>
      <c r="X2" s="9"/>
      <c r="Y2" s="9"/>
      <c r="Z2" s="9"/>
      <c r="AA2" s="9"/>
      <c r="AB2" s="9"/>
      <c r="AC2" s="9"/>
    </row>
    <row r="3" spans="1:29" ht="54" customHeight="1">
      <c r="A3" s="301" t="s">
        <v>267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9"/>
      <c r="W3" s="9"/>
      <c r="X3" s="9"/>
      <c r="Y3" s="9"/>
      <c r="Z3" s="9"/>
      <c r="AA3" s="9"/>
      <c r="AB3" s="9"/>
      <c r="AC3" s="9"/>
    </row>
    <row r="4" spans="1:29" ht="13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25.5">
      <c r="A5" s="20" t="s">
        <v>0</v>
      </c>
      <c r="B5" s="308" t="s">
        <v>2</v>
      </c>
      <c r="C5" s="309"/>
      <c r="D5" s="309"/>
      <c r="E5" s="310"/>
      <c r="F5" s="308" t="s">
        <v>61</v>
      </c>
      <c r="G5" s="309"/>
      <c r="H5" s="309"/>
      <c r="I5" s="310"/>
      <c r="J5" s="308" t="s">
        <v>3</v>
      </c>
      <c r="K5" s="309"/>
      <c r="L5" s="309"/>
      <c r="M5" s="310"/>
      <c r="N5" s="308" t="s">
        <v>14</v>
      </c>
      <c r="O5" s="309"/>
      <c r="P5" s="309"/>
      <c r="Q5" s="310"/>
      <c r="R5" s="308" t="s">
        <v>164</v>
      </c>
      <c r="S5" s="309"/>
      <c r="T5" s="309"/>
      <c r="U5" s="310"/>
      <c r="V5" s="9"/>
      <c r="W5" s="9"/>
      <c r="X5" s="9"/>
      <c r="Y5" s="9"/>
      <c r="Z5" s="9"/>
      <c r="AA5" s="9"/>
      <c r="AB5" s="9"/>
      <c r="AC5" s="9"/>
    </row>
    <row r="6" spans="1:29" ht="70.5" customHeight="1">
      <c r="A6" s="127" t="s">
        <v>4</v>
      </c>
      <c r="B6" s="7" t="s">
        <v>295</v>
      </c>
      <c r="C6" s="7" t="s">
        <v>296</v>
      </c>
      <c r="D6" s="41" t="s">
        <v>5</v>
      </c>
      <c r="E6" s="42" t="s">
        <v>255</v>
      </c>
      <c r="F6" s="7" t="s">
        <v>168</v>
      </c>
      <c r="G6" s="7" t="s">
        <v>218</v>
      </c>
      <c r="H6" s="41" t="s">
        <v>5</v>
      </c>
      <c r="I6" s="42" t="s">
        <v>256</v>
      </c>
      <c r="J6" s="122" t="s">
        <v>168</v>
      </c>
      <c r="K6" s="122" t="s">
        <v>218</v>
      </c>
      <c r="L6" s="31" t="s">
        <v>55</v>
      </c>
      <c r="M6" s="143" t="s">
        <v>165</v>
      </c>
      <c r="N6" s="122" t="s">
        <v>168</v>
      </c>
      <c r="O6" s="122" t="s">
        <v>227</v>
      </c>
      <c r="P6" s="31" t="s">
        <v>55</v>
      </c>
      <c r="Q6" s="32" t="s">
        <v>268</v>
      </c>
      <c r="R6" s="7" t="s">
        <v>168</v>
      </c>
      <c r="S6" s="7" t="s">
        <v>218</v>
      </c>
      <c r="T6" s="41" t="s">
        <v>5</v>
      </c>
      <c r="U6" s="42" t="s">
        <v>256</v>
      </c>
      <c r="V6" s="9"/>
      <c r="W6" s="9"/>
      <c r="X6" s="9"/>
      <c r="Y6" s="9"/>
      <c r="Z6" s="9"/>
      <c r="AA6" s="9"/>
      <c r="AB6" s="9"/>
      <c r="AC6" s="9"/>
    </row>
    <row r="7" spans="1:29" ht="12.75">
      <c r="A7" s="21">
        <v>1</v>
      </c>
      <c r="B7" s="33">
        <v>6</v>
      </c>
      <c r="C7" s="33">
        <v>7</v>
      </c>
      <c r="D7" s="33">
        <v>8</v>
      </c>
      <c r="E7" s="46">
        <v>9</v>
      </c>
      <c r="F7" s="33">
        <v>10</v>
      </c>
      <c r="G7" s="33">
        <v>11</v>
      </c>
      <c r="H7" s="33">
        <v>12</v>
      </c>
      <c r="I7" s="46">
        <v>13</v>
      </c>
      <c r="J7" s="33">
        <v>14</v>
      </c>
      <c r="K7" s="33">
        <v>15</v>
      </c>
      <c r="L7" s="33">
        <v>16</v>
      </c>
      <c r="M7" s="46">
        <v>17</v>
      </c>
      <c r="N7" s="69">
        <v>18</v>
      </c>
      <c r="O7" s="33">
        <v>19</v>
      </c>
      <c r="P7" s="33">
        <v>20</v>
      </c>
      <c r="Q7" s="46">
        <v>21</v>
      </c>
      <c r="R7" s="69">
        <v>2</v>
      </c>
      <c r="S7" s="33">
        <v>3</v>
      </c>
      <c r="T7" s="33">
        <v>4</v>
      </c>
      <c r="U7" s="46">
        <v>5</v>
      </c>
      <c r="V7" s="9"/>
      <c r="W7" s="9"/>
      <c r="X7" s="9"/>
      <c r="Y7" s="9"/>
      <c r="Z7" s="9"/>
      <c r="AA7" s="9"/>
      <c r="AB7" s="9"/>
      <c r="AC7" s="9"/>
    </row>
    <row r="8" spans="1:29" ht="25.5">
      <c r="A8" s="106" t="s">
        <v>6</v>
      </c>
      <c r="B8" s="57" t="s">
        <v>297</v>
      </c>
      <c r="C8" s="57" t="s">
        <v>297</v>
      </c>
      <c r="D8" s="58">
        <v>100</v>
      </c>
      <c r="E8" s="87">
        <v>0</v>
      </c>
      <c r="F8" s="57" t="s">
        <v>302</v>
      </c>
      <c r="G8" s="57" t="s">
        <v>258</v>
      </c>
      <c r="H8" s="58">
        <f>132.12/132.12*100</f>
        <v>100</v>
      </c>
      <c r="I8" s="87">
        <f>132.12-132.12</f>
        <v>0</v>
      </c>
      <c r="J8" s="57" t="s">
        <v>269</v>
      </c>
      <c r="K8" s="57" t="s">
        <v>269</v>
      </c>
      <c r="L8" s="58">
        <f>151.2/151.2*100</f>
        <v>100</v>
      </c>
      <c r="M8" s="87">
        <f>151.2-151.2</f>
        <v>0</v>
      </c>
      <c r="N8" s="57" t="s">
        <v>294</v>
      </c>
      <c r="O8" s="57" t="s">
        <v>294</v>
      </c>
      <c r="P8" s="58">
        <f>142.25/142.25*100</f>
        <v>100</v>
      </c>
      <c r="Q8" s="87">
        <f>142.25-142.25</f>
        <v>0</v>
      </c>
      <c r="R8" s="57" t="s">
        <v>87</v>
      </c>
      <c r="S8" s="57" t="s">
        <v>87</v>
      </c>
      <c r="T8" s="58">
        <v>100</v>
      </c>
      <c r="U8" s="87">
        <v>0</v>
      </c>
      <c r="V8" s="9"/>
      <c r="W8" s="9"/>
      <c r="X8" s="9"/>
      <c r="Y8" s="9"/>
      <c r="Z8" s="9"/>
      <c r="AA8" s="9"/>
      <c r="AB8" s="9"/>
      <c r="AC8" s="9"/>
    </row>
    <row r="9" spans="1:29" ht="25.5">
      <c r="A9" s="22" t="s">
        <v>21</v>
      </c>
      <c r="B9" s="57" t="s">
        <v>298</v>
      </c>
      <c r="C9" s="57" t="s">
        <v>298</v>
      </c>
      <c r="D9" s="58">
        <v>100</v>
      </c>
      <c r="E9" s="87">
        <v>0</v>
      </c>
      <c r="F9" s="57" t="s">
        <v>303</v>
      </c>
      <c r="G9" s="57" t="s">
        <v>257</v>
      </c>
      <c r="H9" s="58">
        <f aca="true" t="shared" si="0" ref="H9:H15">132.12/132.12*100</f>
        <v>100</v>
      </c>
      <c r="I9" s="87">
        <f aca="true" t="shared" si="1" ref="I9:I15">132.12-132.12</f>
        <v>0</v>
      </c>
      <c r="J9" s="57" t="s">
        <v>270</v>
      </c>
      <c r="K9" s="57" t="s">
        <v>270</v>
      </c>
      <c r="L9" s="58">
        <f>151.2/151.2*100</f>
        <v>100</v>
      </c>
      <c r="M9" s="87">
        <f>151.2-151.2</f>
        <v>0</v>
      </c>
      <c r="N9" s="57" t="s">
        <v>306</v>
      </c>
      <c r="O9" s="57" t="s">
        <v>306</v>
      </c>
      <c r="P9" s="58">
        <f>142.25/142.25*100</f>
        <v>100</v>
      </c>
      <c r="Q9" s="87">
        <f>142.25-142.25</f>
        <v>0</v>
      </c>
      <c r="R9" s="57" t="s">
        <v>145</v>
      </c>
      <c r="S9" s="57" t="s">
        <v>145</v>
      </c>
      <c r="T9" s="58">
        <v>100</v>
      </c>
      <c r="U9" s="87">
        <v>0</v>
      </c>
      <c r="V9" s="9"/>
      <c r="W9" s="9"/>
      <c r="X9" s="9"/>
      <c r="Y9" s="9"/>
      <c r="Z9" s="9"/>
      <c r="AA9" s="9"/>
      <c r="AB9" s="9"/>
      <c r="AC9" s="9"/>
    </row>
    <row r="10" spans="1:29" ht="25.5">
      <c r="A10" s="22" t="s">
        <v>22</v>
      </c>
      <c r="B10" s="57" t="s">
        <v>299</v>
      </c>
      <c r="C10" s="57" t="s">
        <v>299</v>
      </c>
      <c r="D10" s="58">
        <v>100</v>
      </c>
      <c r="E10" s="87">
        <v>0</v>
      </c>
      <c r="F10" s="57" t="s">
        <v>265</v>
      </c>
      <c r="G10" s="57" t="s">
        <v>259</v>
      </c>
      <c r="H10" s="58">
        <f t="shared" si="0"/>
        <v>100</v>
      </c>
      <c r="I10" s="87">
        <f t="shared" si="1"/>
        <v>0</v>
      </c>
      <c r="J10" s="57" t="s">
        <v>92</v>
      </c>
      <c r="K10" s="57" t="s">
        <v>92</v>
      </c>
      <c r="L10" s="58">
        <f>99.04/99.04*100</f>
        <v>100</v>
      </c>
      <c r="M10" s="87">
        <f>99.04-99.04</f>
        <v>0</v>
      </c>
      <c r="N10" s="57" t="s">
        <v>121</v>
      </c>
      <c r="O10" s="57" t="s">
        <v>311</v>
      </c>
      <c r="P10" s="58">
        <f>142.25/142.25*100</f>
        <v>100</v>
      </c>
      <c r="Q10" s="87">
        <f>142.25-142.25</f>
        <v>0</v>
      </c>
      <c r="R10" s="57" t="s">
        <v>86</v>
      </c>
      <c r="S10" s="57" t="s">
        <v>86</v>
      </c>
      <c r="T10" s="58">
        <v>100</v>
      </c>
      <c r="U10" s="87">
        <v>0</v>
      </c>
      <c r="V10" s="9"/>
      <c r="W10" s="9"/>
      <c r="X10" s="9"/>
      <c r="Y10" s="9"/>
      <c r="Z10" s="9"/>
      <c r="AA10" s="9"/>
      <c r="AB10" s="9"/>
      <c r="AC10" s="9"/>
    </row>
    <row r="11" spans="1:29" ht="38.25">
      <c r="A11" s="22" t="s">
        <v>9</v>
      </c>
      <c r="B11" s="57" t="s">
        <v>300</v>
      </c>
      <c r="C11" s="57" t="s">
        <v>300</v>
      </c>
      <c r="D11" s="58">
        <v>100</v>
      </c>
      <c r="E11" s="87">
        <v>0</v>
      </c>
      <c r="F11" s="57" t="s">
        <v>304</v>
      </c>
      <c r="G11" s="57" t="s">
        <v>260</v>
      </c>
      <c r="H11" s="58">
        <f t="shared" si="0"/>
        <v>100</v>
      </c>
      <c r="I11" s="87">
        <f t="shared" si="1"/>
        <v>0</v>
      </c>
      <c r="J11" s="57" t="s">
        <v>271</v>
      </c>
      <c r="K11" s="57" t="s">
        <v>271</v>
      </c>
      <c r="L11" s="58">
        <f>263.67/263.67*100</f>
        <v>100</v>
      </c>
      <c r="M11" s="87">
        <f>263.67-263.67</f>
        <v>0</v>
      </c>
      <c r="N11" s="57" t="s">
        <v>307</v>
      </c>
      <c r="O11" s="57" t="s">
        <v>307</v>
      </c>
      <c r="P11" s="58">
        <f>142.25/142.25*100</f>
        <v>100</v>
      </c>
      <c r="Q11" s="87">
        <f>142.25-142.25</f>
        <v>0</v>
      </c>
      <c r="R11" s="57" t="s">
        <v>56</v>
      </c>
      <c r="S11" s="57" t="s">
        <v>56</v>
      </c>
      <c r="T11" s="58" t="s">
        <v>56</v>
      </c>
      <c r="U11" s="87" t="s">
        <v>56</v>
      </c>
      <c r="V11" s="9"/>
      <c r="W11" s="9"/>
      <c r="X11" s="9"/>
      <c r="Y11" s="9"/>
      <c r="Z11" s="9"/>
      <c r="AA11" s="9"/>
      <c r="AB11" s="9"/>
      <c r="AC11" s="9"/>
    </row>
    <row r="12" spans="1:29" ht="25.5">
      <c r="A12" s="22" t="s">
        <v>10</v>
      </c>
      <c r="B12" s="57" t="s">
        <v>88</v>
      </c>
      <c r="C12" s="57" t="s">
        <v>88</v>
      </c>
      <c r="D12" s="58">
        <v>100</v>
      </c>
      <c r="E12" s="87">
        <v>0</v>
      </c>
      <c r="F12" s="57" t="s">
        <v>261</v>
      </c>
      <c r="G12" s="57" t="s">
        <v>261</v>
      </c>
      <c r="H12" s="58">
        <f t="shared" si="0"/>
        <v>100</v>
      </c>
      <c r="I12" s="87">
        <f t="shared" si="1"/>
        <v>0</v>
      </c>
      <c r="J12" s="57" t="s">
        <v>272</v>
      </c>
      <c r="K12" s="57" t="s">
        <v>272</v>
      </c>
      <c r="L12" s="58">
        <f>180.76/180.76*100</f>
        <v>100</v>
      </c>
      <c r="M12" s="87">
        <f>180.76-180.76</f>
        <v>0</v>
      </c>
      <c r="N12" s="57" t="s">
        <v>308</v>
      </c>
      <c r="O12" s="57" t="s">
        <v>308</v>
      </c>
      <c r="P12" s="58">
        <f>143.3/143.3*100</f>
        <v>100</v>
      </c>
      <c r="Q12" s="87">
        <f>143.3-143.3</f>
        <v>0</v>
      </c>
      <c r="R12" s="57" t="s">
        <v>84</v>
      </c>
      <c r="S12" s="57" t="s">
        <v>84</v>
      </c>
      <c r="T12" s="58">
        <v>100</v>
      </c>
      <c r="U12" s="87">
        <v>0</v>
      </c>
      <c r="V12" s="9"/>
      <c r="W12" s="9"/>
      <c r="X12" s="9"/>
      <c r="Y12" s="9"/>
      <c r="Z12" s="9"/>
      <c r="AA12" s="9"/>
      <c r="AB12" s="9"/>
      <c r="AC12" s="9"/>
    </row>
    <row r="13" spans="1:29" ht="25.5">
      <c r="A13" s="22" t="s">
        <v>11</v>
      </c>
      <c r="B13" s="57" t="s">
        <v>89</v>
      </c>
      <c r="C13" s="57" t="s">
        <v>89</v>
      </c>
      <c r="D13" s="58">
        <v>100</v>
      </c>
      <c r="E13" s="87">
        <v>0</v>
      </c>
      <c r="F13" s="57" t="s">
        <v>305</v>
      </c>
      <c r="G13" s="57" t="s">
        <v>262</v>
      </c>
      <c r="H13" s="58">
        <f t="shared" si="0"/>
        <v>100</v>
      </c>
      <c r="I13" s="87">
        <f t="shared" si="1"/>
        <v>0</v>
      </c>
      <c r="J13" s="57" t="s">
        <v>273</v>
      </c>
      <c r="K13" s="57" t="s">
        <v>273</v>
      </c>
      <c r="L13" s="58">
        <f>105.8/105.8*100</f>
        <v>100</v>
      </c>
      <c r="M13" s="87">
        <f>105.8-105.8</f>
        <v>0</v>
      </c>
      <c r="N13" s="57" t="s">
        <v>309</v>
      </c>
      <c r="O13" s="57" t="s">
        <v>309</v>
      </c>
      <c r="P13" s="58">
        <f>130.04/130.04*100</f>
        <v>100</v>
      </c>
      <c r="Q13" s="87">
        <f>130.04-130.04</f>
        <v>0</v>
      </c>
      <c r="R13" s="57" t="s">
        <v>312</v>
      </c>
      <c r="S13" s="57" t="s">
        <v>312</v>
      </c>
      <c r="T13" s="58">
        <v>100</v>
      </c>
      <c r="U13" s="87">
        <v>0</v>
      </c>
      <c r="V13" s="9"/>
      <c r="W13" s="9"/>
      <c r="X13" s="9"/>
      <c r="Y13" s="9"/>
      <c r="Z13" s="9"/>
      <c r="AA13" s="9"/>
      <c r="AB13" s="9"/>
      <c r="AC13" s="9"/>
    </row>
    <row r="14" spans="1:29" ht="25.5">
      <c r="A14" s="22" t="s">
        <v>12</v>
      </c>
      <c r="B14" s="57" t="s">
        <v>301</v>
      </c>
      <c r="C14" s="57" t="s">
        <v>301</v>
      </c>
      <c r="D14" s="58">
        <v>100</v>
      </c>
      <c r="E14" s="87">
        <v>0</v>
      </c>
      <c r="F14" s="57" t="s">
        <v>266</v>
      </c>
      <c r="G14" s="57" t="s">
        <v>263</v>
      </c>
      <c r="H14" s="58">
        <f t="shared" si="0"/>
        <v>100</v>
      </c>
      <c r="I14" s="87">
        <f t="shared" si="1"/>
        <v>0</v>
      </c>
      <c r="J14" s="57" t="s">
        <v>274</v>
      </c>
      <c r="K14" s="57" t="s">
        <v>274</v>
      </c>
      <c r="L14" s="58">
        <f>105.8/105.8*100</f>
        <v>100</v>
      </c>
      <c r="M14" s="87">
        <f>105.8-105.8</f>
        <v>0</v>
      </c>
      <c r="N14" s="57" t="s">
        <v>310</v>
      </c>
      <c r="O14" s="57" t="s">
        <v>310</v>
      </c>
      <c r="P14" s="58">
        <f>(172.1/172.1)*100</f>
        <v>100</v>
      </c>
      <c r="Q14" s="87">
        <f>130.04-130.04</f>
        <v>0</v>
      </c>
      <c r="R14" s="57" t="s">
        <v>313</v>
      </c>
      <c r="S14" s="57" t="s">
        <v>313</v>
      </c>
      <c r="T14" s="58">
        <v>100</v>
      </c>
      <c r="U14" s="87">
        <v>0</v>
      </c>
      <c r="V14" s="9"/>
      <c r="W14" s="9"/>
      <c r="X14" s="9"/>
      <c r="Y14" s="9"/>
      <c r="Z14" s="9"/>
      <c r="AA14" s="9"/>
      <c r="AB14" s="9"/>
      <c r="AC14" s="9"/>
    </row>
    <row r="15" spans="1:29" ht="27" customHeight="1" thickBot="1">
      <c r="A15" s="23" t="s">
        <v>13</v>
      </c>
      <c r="B15" s="88" t="s">
        <v>90</v>
      </c>
      <c r="C15" s="88" t="s">
        <v>90</v>
      </c>
      <c r="D15" s="89">
        <v>100</v>
      </c>
      <c r="E15" s="90">
        <v>0</v>
      </c>
      <c r="F15" s="88" t="s">
        <v>91</v>
      </c>
      <c r="G15" s="88" t="s">
        <v>264</v>
      </c>
      <c r="H15" s="89">
        <f t="shared" si="0"/>
        <v>100</v>
      </c>
      <c r="I15" s="90">
        <f t="shared" si="1"/>
        <v>0</v>
      </c>
      <c r="J15" s="88" t="s">
        <v>275</v>
      </c>
      <c r="K15" s="88" t="s">
        <v>275</v>
      </c>
      <c r="L15" s="89">
        <f>101.6/101.6*100</f>
        <v>100</v>
      </c>
      <c r="M15" s="90">
        <f>101.6-101.6</f>
        <v>0</v>
      </c>
      <c r="N15" s="88" t="s">
        <v>52</v>
      </c>
      <c r="O15" s="88" t="s">
        <v>122</v>
      </c>
      <c r="P15" s="89">
        <f>98.4/98.4*100</f>
        <v>100</v>
      </c>
      <c r="Q15" s="90">
        <f>98.4-98.4</f>
        <v>0</v>
      </c>
      <c r="R15" s="88" t="s">
        <v>85</v>
      </c>
      <c r="S15" s="88" t="s">
        <v>85</v>
      </c>
      <c r="T15" s="89">
        <v>100</v>
      </c>
      <c r="U15" s="90">
        <v>0</v>
      </c>
      <c r="V15" s="9"/>
      <c r="W15" s="9"/>
      <c r="X15" s="9"/>
      <c r="Y15" s="9"/>
      <c r="Z15" s="9"/>
      <c r="AA15" s="9"/>
      <c r="AB15" s="9"/>
      <c r="AC15" s="9"/>
    </row>
    <row r="16" spans="9:33" ht="12.75"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2.75">
      <c r="A17" s="311" t="s">
        <v>94</v>
      </c>
      <c r="B17" s="311"/>
      <c r="C17" s="311"/>
      <c r="D17" s="311"/>
      <c r="E17" s="311"/>
      <c r="F17" s="311"/>
      <c r="G17" s="311"/>
      <c r="H17" s="3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</sheetData>
  <mergeCells count="7">
    <mergeCell ref="A3:U3"/>
    <mergeCell ref="N5:Q5"/>
    <mergeCell ref="A17:H17"/>
    <mergeCell ref="R5:U5"/>
    <mergeCell ref="B5:E5"/>
    <mergeCell ref="F5:I5"/>
    <mergeCell ref="J5:M5"/>
  </mergeCells>
  <printOptions/>
  <pageMargins left="0.48" right="0.27" top="0.7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7">
      <selection activeCell="D34" sqref="D34"/>
    </sheetView>
  </sheetViews>
  <sheetFormatPr defaultColWidth="9.00390625" defaultRowHeight="12.75"/>
  <cols>
    <col min="2" max="2" width="14.125" style="0" customWidth="1"/>
    <col min="3" max="3" width="11.375" style="0" customWidth="1"/>
    <col min="4" max="4" width="10.375" style="0" customWidth="1"/>
    <col min="5" max="5" width="9.75390625" style="0" customWidth="1"/>
    <col min="8" max="8" width="10.00390625" style="0" customWidth="1"/>
    <col min="9" max="9" width="10.25390625" style="0" customWidth="1"/>
  </cols>
  <sheetData>
    <row r="1" spans="1:8" ht="15">
      <c r="A1" s="239"/>
      <c r="B1" s="239"/>
      <c r="C1" s="239"/>
      <c r="D1" s="239"/>
      <c r="E1" s="239"/>
      <c r="F1" s="239"/>
      <c r="G1" s="239"/>
      <c r="H1" s="244" t="s">
        <v>170</v>
      </c>
    </row>
    <row r="2" spans="1:8" ht="56.25" customHeight="1">
      <c r="A2" s="320" t="s">
        <v>276</v>
      </c>
      <c r="B2" s="320"/>
      <c r="C2" s="320"/>
      <c r="D2" s="320"/>
      <c r="E2" s="320"/>
      <c r="F2" s="320"/>
      <c r="G2" s="320"/>
      <c r="H2" s="320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5">
      <c r="A4" s="312" t="s">
        <v>15</v>
      </c>
      <c r="B4" s="312" t="s">
        <v>16</v>
      </c>
      <c r="C4" s="312" t="s">
        <v>17</v>
      </c>
      <c r="D4" s="312"/>
      <c r="E4" s="312"/>
      <c r="F4" s="312"/>
      <c r="G4" s="312"/>
      <c r="H4" s="312"/>
    </row>
    <row r="5" spans="1:8" ht="45.75" customHeight="1">
      <c r="A5" s="312"/>
      <c r="B5" s="312"/>
      <c r="C5" s="312" t="s">
        <v>39</v>
      </c>
      <c r="D5" s="312"/>
      <c r="E5" s="312"/>
      <c r="F5" s="312" t="s">
        <v>43</v>
      </c>
      <c r="G5" s="312"/>
      <c r="H5" s="312"/>
    </row>
    <row r="6" spans="1:8" ht="120">
      <c r="A6" s="312"/>
      <c r="B6" s="312"/>
      <c r="C6" s="153" t="s">
        <v>18</v>
      </c>
      <c r="D6" s="153" t="s">
        <v>20</v>
      </c>
      <c r="E6" s="153" t="s">
        <v>19</v>
      </c>
      <c r="F6" s="153" t="s">
        <v>18</v>
      </c>
      <c r="G6" s="153" t="s">
        <v>20</v>
      </c>
      <c r="H6" s="153" t="s">
        <v>19</v>
      </c>
    </row>
    <row r="7" spans="1:8" ht="15">
      <c r="A7" s="153">
        <v>1</v>
      </c>
      <c r="B7" s="153">
        <v>2</v>
      </c>
      <c r="C7" s="153">
        <v>3</v>
      </c>
      <c r="D7" s="153">
        <v>4</v>
      </c>
      <c r="E7" s="153">
        <v>5</v>
      </c>
      <c r="F7" s="153">
        <v>6</v>
      </c>
      <c r="G7" s="153">
        <v>7</v>
      </c>
      <c r="H7" s="153">
        <v>8</v>
      </c>
    </row>
    <row r="8" spans="1:8" ht="12.75" customHeight="1">
      <c r="A8" s="312">
        <v>1</v>
      </c>
      <c r="B8" s="313" t="s">
        <v>6</v>
      </c>
      <c r="C8" s="314">
        <v>100</v>
      </c>
      <c r="D8" s="316">
        <v>3252.06</v>
      </c>
      <c r="E8" s="316" t="s">
        <v>28</v>
      </c>
      <c r="F8" s="317">
        <v>100</v>
      </c>
      <c r="G8" s="316">
        <f>D8</f>
        <v>3252.06</v>
      </c>
      <c r="H8" s="316" t="s">
        <v>28</v>
      </c>
    </row>
    <row r="9" spans="1:8" ht="12.75" customHeight="1">
      <c r="A9" s="312"/>
      <c r="B9" s="313"/>
      <c r="C9" s="314"/>
      <c r="D9" s="316"/>
      <c r="E9" s="316"/>
      <c r="F9" s="317"/>
      <c r="G9" s="316"/>
      <c r="H9" s="316"/>
    </row>
    <row r="10" spans="1:8" ht="12.75" customHeight="1">
      <c r="A10" s="312">
        <v>2</v>
      </c>
      <c r="B10" s="313" t="s">
        <v>21</v>
      </c>
      <c r="C10" s="314">
        <v>100</v>
      </c>
      <c r="D10" s="315">
        <v>2631.12</v>
      </c>
      <c r="E10" s="316" t="s">
        <v>24</v>
      </c>
      <c r="F10" s="317">
        <v>100</v>
      </c>
      <c r="G10" s="315">
        <f>D10</f>
        <v>2631.12</v>
      </c>
      <c r="H10" s="318" t="s">
        <v>25</v>
      </c>
    </row>
    <row r="11" spans="1:8" ht="12.75" customHeight="1">
      <c r="A11" s="312"/>
      <c r="B11" s="313"/>
      <c r="C11" s="314"/>
      <c r="D11" s="315"/>
      <c r="E11" s="316"/>
      <c r="F11" s="317"/>
      <c r="G11" s="316"/>
      <c r="H11" s="318"/>
    </row>
    <row r="12" spans="1:8" ht="12.75" customHeight="1">
      <c r="A12" s="312">
        <v>3</v>
      </c>
      <c r="B12" s="313" t="s">
        <v>22</v>
      </c>
      <c r="C12" s="314" t="s">
        <v>131</v>
      </c>
      <c r="D12" s="316">
        <v>2515.5</v>
      </c>
      <c r="E12" s="318" t="s">
        <v>25</v>
      </c>
      <c r="F12" s="317">
        <v>100</v>
      </c>
      <c r="G12" s="319">
        <v>2672.85</v>
      </c>
      <c r="H12" s="316" t="s">
        <v>24</v>
      </c>
    </row>
    <row r="13" spans="1:8" ht="12.75" customHeight="1">
      <c r="A13" s="312"/>
      <c r="B13" s="313"/>
      <c r="C13" s="314"/>
      <c r="D13" s="316"/>
      <c r="E13" s="318"/>
      <c r="F13" s="317"/>
      <c r="G13" s="318"/>
      <c r="H13" s="316"/>
    </row>
    <row r="14" spans="1:8" ht="12.75" customHeight="1">
      <c r="A14" s="312">
        <v>4</v>
      </c>
      <c r="B14" s="313" t="s">
        <v>9</v>
      </c>
      <c r="C14" s="314" t="s">
        <v>93</v>
      </c>
      <c r="D14" s="315">
        <v>4342.75</v>
      </c>
      <c r="E14" s="316" t="s">
        <v>29</v>
      </c>
      <c r="F14" s="314">
        <v>100</v>
      </c>
      <c r="G14" s="319">
        <v>4419</v>
      </c>
      <c r="H14" s="316" t="s">
        <v>29</v>
      </c>
    </row>
    <row r="15" spans="1:8" ht="12.75" customHeight="1">
      <c r="A15" s="312"/>
      <c r="B15" s="313"/>
      <c r="C15" s="314"/>
      <c r="D15" s="315"/>
      <c r="E15" s="316"/>
      <c r="F15" s="314"/>
      <c r="G15" s="319"/>
      <c r="H15" s="316"/>
    </row>
    <row r="16" spans="1:8" ht="12.75" customHeight="1">
      <c r="A16" s="312">
        <v>5</v>
      </c>
      <c r="B16" s="313" t="s">
        <v>10</v>
      </c>
      <c r="C16" s="314">
        <v>100</v>
      </c>
      <c r="D16" s="315">
        <v>3266</v>
      </c>
      <c r="E16" s="318" t="s">
        <v>26</v>
      </c>
      <c r="F16" s="317">
        <v>100</v>
      </c>
      <c r="G16" s="319">
        <f>D16</f>
        <v>3266</v>
      </c>
      <c r="H16" s="318" t="s">
        <v>26</v>
      </c>
    </row>
    <row r="17" spans="1:8" ht="12.75" customHeight="1">
      <c r="A17" s="312"/>
      <c r="B17" s="313"/>
      <c r="C17" s="314"/>
      <c r="D17" s="315"/>
      <c r="E17" s="318"/>
      <c r="F17" s="317"/>
      <c r="G17" s="319"/>
      <c r="H17" s="318"/>
    </row>
    <row r="18" spans="1:8" ht="12.75" customHeight="1">
      <c r="A18" s="312">
        <v>6</v>
      </c>
      <c r="B18" s="313" t="s">
        <v>11</v>
      </c>
      <c r="C18" s="314">
        <v>100</v>
      </c>
      <c r="D18" s="316">
        <v>2776.46</v>
      </c>
      <c r="E18" s="316" t="s">
        <v>27</v>
      </c>
      <c r="F18" s="317">
        <v>100</v>
      </c>
      <c r="G18" s="318">
        <f>D18</f>
        <v>2776.46</v>
      </c>
      <c r="H18" s="316" t="s">
        <v>27</v>
      </c>
    </row>
    <row r="19" spans="1:8" ht="12.75" customHeight="1">
      <c r="A19" s="312"/>
      <c r="B19" s="313"/>
      <c r="C19" s="314"/>
      <c r="D19" s="316"/>
      <c r="E19" s="316"/>
      <c r="F19" s="317"/>
      <c r="G19" s="318"/>
      <c r="H19" s="316"/>
    </row>
    <row r="20" spans="1:8" ht="12.75" customHeight="1">
      <c r="A20" s="312">
        <v>7</v>
      </c>
      <c r="B20" s="313" t="s">
        <v>12</v>
      </c>
      <c r="C20" s="314">
        <v>100</v>
      </c>
      <c r="D20" s="316">
        <v>2912.76</v>
      </c>
      <c r="E20" s="316" t="s">
        <v>23</v>
      </c>
      <c r="F20" s="317">
        <v>100</v>
      </c>
      <c r="G20" s="318">
        <f>D20</f>
        <v>2912.76</v>
      </c>
      <c r="H20" s="316" t="s">
        <v>23</v>
      </c>
    </row>
    <row r="21" spans="1:8" ht="12.75" customHeight="1">
      <c r="A21" s="312"/>
      <c r="B21" s="313"/>
      <c r="C21" s="314"/>
      <c r="D21" s="316"/>
      <c r="E21" s="316"/>
      <c r="F21" s="317"/>
      <c r="G21" s="318"/>
      <c r="H21" s="316"/>
    </row>
    <row r="22" spans="1:8" ht="12.75" customHeight="1">
      <c r="A22" s="312">
        <v>8</v>
      </c>
      <c r="B22" s="313" t="s">
        <v>13</v>
      </c>
      <c r="C22" s="314" t="s">
        <v>62</v>
      </c>
      <c r="D22" s="315">
        <v>2547.9</v>
      </c>
      <c r="E22" s="316" t="s">
        <v>30</v>
      </c>
      <c r="F22" s="317">
        <v>100</v>
      </c>
      <c r="G22" s="319">
        <v>2721.03</v>
      </c>
      <c r="H22" s="316" t="s">
        <v>30</v>
      </c>
    </row>
    <row r="23" spans="1:8" ht="12.75" customHeight="1">
      <c r="A23" s="312"/>
      <c r="B23" s="313"/>
      <c r="C23" s="314"/>
      <c r="D23" s="315"/>
      <c r="E23" s="316"/>
      <c r="F23" s="317"/>
      <c r="G23" s="319"/>
      <c r="H23" s="316"/>
    </row>
    <row r="24" spans="1:8" ht="15">
      <c r="A24" s="239"/>
      <c r="B24" s="239"/>
      <c r="C24" s="239"/>
      <c r="D24" s="239"/>
      <c r="E24" s="239"/>
      <c r="F24" s="239"/>
      <c r="G24" s="239"/>
      <c r="H24" s="239"/>
    </row>
    <row r="25" spans="1:8" ht="15">
      <c r="A25" s="239"/>
      <c r="B25" s="239"/>
      <c r="C25" s="239"/>
      <c r="D25" s="239"/>
      <c r="E25" s="239"/>
      <c r="F25" s="239"/>
      <c r="G25" s="239"/>
      <c r="H25" s="239"/>
    </row>
    <row r="26" spans="1:8" ht="28.5" customHeight="1">
      <c r="A26" s="321" t="s">
        <v>329</v>
      </c>
      <c r="B26" s="321"/>
      <c r="C26" s="321"/>
      <c r="D26" s="321"/>
      <c r="E26" s="321"/>
      <c r="F26" s="321"/>
      <c r="G26" s="321"/>
      <c r="H26" s="321"/>
    </row>
    <row r="27" ht="26.25" customHeight="1"/>
  </sheetData>
  <mergeCells count="71">
    <mergeCell ref="H12:H13"/>
    <mergeCell ref="H18:H19"/>
    <mergeCell ref="H10:H11"/>
    <mergeCell ref="H20:H21"/>
    <mergeCell ref="A26:H26"/>
    <mergeCell ref="E22:E23"/>
    <mergeCell ref="F22:F23"/>
    <mergeCell ref="G22:G23"/>
    <mergeCell ref="H22:H23"/>
    <mergeCell ref="A2:H2"/>
    <mergeCell ref="A4:A6"/>
    <mergeCell ref="B4:B6"/>
    <mergeCell ref="C4:H4"/>
    <mergeCell ref="C5:E5"/>
    <mergeCell ref="F5:H5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</mergeCells>
  <printOptions/>
  <pageMargins left="1.1811023622047245" right="0.3937007874015748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ђ®ббЇҐжвҐе­ЁЄ </dc:creator>
  <cp:keywords/>
  <dc:description/>
  <cp:lastModifiedBy>User</cp:lastModifiedBy>
  <cp:lastPrinted>2006-10-05T04:20:22Z</cp:lastPrinted>
  <dcterms:created xsi:type="dcterms:W3CDTF">2002-06-05T04:44:50Z</dcterms:created>
  <dcterms:modified xsi:type="dcterms:W3CDTF">2006-10-05T04:24:29Z</dcterms:modified>
  <cp:category/>
  <cp:version/>
  <cp:contentType/>
  <cp:contentStatus/>
</cp:coreProperties>
</file>