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15" yWindow="65521" windowWidth="5745" windowHeight="6180" activeTab="0"/>
  </bookViews>
  <sheets>
    <sheet name="Тариф 1" sheetId="1" r:id="rId1"/>
    <sheet name="Норм 1" sheetId="2" r:id="rId2"/>
    <sheet name="Ур плат" sheetId="3" r:id="rId3"/>
    <sheet name="Ставка 1" sheetId="4" r:id="rId4"/>
    <sheet name="квартп 5" sheetId="5" r:id="rId5"/>
  </sheets>
  <definedNames>
    <definedName name="_xlnm.Print_Area" localSheetId="1">'Норм 1'!$A$1:$AC$26</definedName>
    <definedName name="_xlnm.Print_Area" localSheetId="3">'Ставка 1'!$A$1:$AG$23</definedName>
    <definedName name="_xlnm.Print_Area" localSheetId="0">'Тариф 1'!$A$1:$AC$21</definedName>
    <definedName name="_xlnm.Print_Area" localSheetId="2">'Ур плат'!$A$1:$AB$17</definedName>
  </definedNames>
  <calcPr fullCalcOnLoad="1"/>
</workbook>
</file>

<file path=xl/sharedStrings.xml><?xml version="1.0" encoding="utf-8"?>
<sst xmlns="http://schemas.openxmlformats.org/spreadsheetml/2006/main" count="669" uniqueCount="354">
  <si>
    <t>Виды ЖКУ</t>
  </si>
  <si>
    <t>Содержание и текущий ремонт жилищного фонда</t>
  </si>
  <si>
    <t>Теплоснабжение</t>
  </si>
  <si>
    <t>Водоотведение</t>
  </si>
  <si>
    <t>Город</t>
  </si>
  <si>
    <t>темп роста, %</t>
  </si>
  <si>
    <t>Сургут</t>
  </si>
  <si>
    <t>Нижне-вартовск</t>
  </si>
  <si>
    <t>Нефте-юганск</t>
  </si>
  <si>
    <t>Ханты-Мансийск</t>
  </si>
  <si>
    <t>Когалым</t>
  </si>
  <si>
    <t>Лангепас</t>
  </si>
  <si>
    <t>Урай</t>
  </si>
  <si>
    <t>Мегион</t>
  </si>
  <si>
    <t>Горячее водоснабжение (подогрев)</t>
  </si>
  <si>
    <t>откло-нение (+,-)</t>
  </si>
  <si>
    <t>№ п/п</t>
  </si>
  <si>
    <t>Города</t>
  </si>
  <si>
    <t>Сумма платежа</t>
  </si>
  <si>
    <t>Установленный уровень, %</t>
  </si>
  <si>
    <t>Ранжирование по сумме платежа от наибольшей</t>
  </si>
  <si>
    <t>Сумма платежа, руб.</t>
  </si>
  <si>
    <t>Нижневартовск</t>
  </si>
  <si>
    <t>Нефтеюганск</t>
  </si>
  <si>
    <t>отклоне-ние (+,-), %</t>
  </si>
  <si>
    <t>IV</t>
  </si>
  <si>
    <t>VI</t>
  </si>
  <si>
    <t>VIII</t>
  </si>
  <si>
    <t>II</t>
  </si>
  <si>
    <t>V</t>
  </si>
  <si>
    <t>III</t>
  </si>
  <si>
    <t>I</t>
  </si>
  <si>
    <t>VII</t>
  </si>
  <si>
    <t>Таблица 4</t>
  </si>
  <si>
    <t>Таблица 5</t>
  </si>
  <si>
    <t>Тепловая энергия</t>
  </si>
  <si>
    <t>Таблица 1</t>
  </si>
  <si>
    <t>Таблица 2</t>
  </si>
  <si>
    <t>Таблица 3</t>
  </si>
  <si>
    <t>0,141 (7)</t>
  </si>
  <si>
    <t>0,236 (4)</t>
  </si>
  <si>
    <t>17,70 (2)</t>
  </si>
  <si>
    <t>уровень платежей по состоянию на 01.02.04, %</t>
  </si>
  <si>
    <t>0,237 (3)</t>
  </si>
  <si>
    <t>уровень платежей по состоянию на 01.05.04, %</t>
  </si>
  <si>
    <t>С учетом установленого на территории уровня платежей</t>
  </si>
  <si>
    <t>9,00 (5)</t>
  </si>
  <si>
    <t>7,63 (6)</t>
  </si>
  <si>
    <t>5,30 (8)</t>
  </si>
  <si>
    <t>9,12 (4)</t>
  </si>
  <si>
    <t>9,20 (2)</t>
  </si>
  <si>
    <t>7,62 (7)</t>
  </si>
  <si>
    <t>9,30 (2)</t>
  </si>
  <si>
    <t>С учетом корректировки на уровень платежей по г.Сургуту</t>
  </si>
  <si>
    <t>10,33 (8)</t>
  </si>
  <si>
    <t>660,8 (2)</t>
  </si>
  <si>
    <t>10,78 (8)</t>
  </si>
  <si>
    <t>12,98 (6)</t>
  </si>
  <si>
    <t>11,89 (7)</t>
  </si>
  <si>
    <t>15,98 (2)</t>
  </si>
  <si>
    <t>13,04 (5)</t>
  </si>
  <si>
    <t>11,80 (6)</t>
  </si>
  <si>
    <t>18,88 (2)</t>
  </si>
  <si>
    <t>10,79 (7)</t>
  </si>
  <si>
    <t>10,43 (8)</t>
  </si>
  <si>
    <t>0,030 (1)</t>
  </si>
  <si>
    <t>0,028 (2)</t>
  </si>
  <si>
    <t>0,025 (3)</t>
  </si>
  <si>
    <t>0,023 (5)</t>
  </si>
  <si>
    <t>0,02 (6)</t>
  </si>
  <si>
    <t>9,60 (1)</t>
  </si>
  <si>
    <t>9,13 (3)</t>
  </si>
  <si>
    <t>0,313 (1)</t>
  </si>
  <si>
    <t>0,240 (2)</t>
  </si>
  <si>
    <t>0,206 (5)</t>
  </si>
  <si>
    <t>0,1478 (6)</t>
  </si>
  <si>
    <t>10,18 (8)</t>
  </si>
  <si>
    <t>16,50 (2)</t>
  </si>
  <si>
    <t>55,35 (8)</t>
  </si>
  <si>
    <t>81,2 (8)</t>
  </si>
  <si>
    <t>79,63 (8)</t>
  </si>
  <si>
    <t>отклоне-ние (+,-) м2/чел.</t>
  </si>
  <si>
    <t>отклоне-ние (+,-) м3/чел.</t>
  </si>
  <si>
    <t>отклоне-ние (+,-) Гкал/чел.</t>
  </si>
  <si>
    <t>0,024 (4)</t>
  </si>
  <si>
    <t>отклоне-ние (+,-) руб./м2</t>
  </si>
  <si>
    <t>отклоне-ние (+,-) руб/Гкал</t>
  </si>
  <si>
    <t>отклоне-ние (+,-) руб./м3</t>
  </si>
  <si>
    <t>отклоне-ние (+,-) Гкал/м2</t>
  </si>
  <si>
    <t>Теплоснабжение*</t>
  </si>
  <si>
    <t>Водопотребление</t>
  </si>
  <si>
    <t>14,68 (3)</t>
  </si>
  <si>
    <t xml:space="preserve">13,68 (4) </t>
  </si>
  <si>
    <t>16,80 (3)</t>
  </si>
  <si>
    <t>16,57 (4)</t>
  </si>
  <si>
    <t>13,33 (5)</t>
  </si>
  <si>
    <t>10,32 (7)</t>
  </si>
  <si>
    <t>ставка платы (с НДС) на 01.10.05, руб./ м2</t>
  </si>
  <si>
    <t>ставка платы (с НДС) на 01.10.05, руб./ чел.</t>
  </si>
  <si>
    <t xml:space="preserve">Сравнительный анализ ставок платы для населения города Сургута  </t>
  </si>
  <si>
    <t xml:space="preserve">                     при переходе с 01.10.2005 года на 100% оплату жилищно-коммунальных услуг</t>
  </si>
  <si>
    <t>ставка платы (с НДС) на 01.09.05, руб./ м2</t>
  </si>
  <si>
    <t>ставка платы (с НДС) на 01.09.05, руб./ чел.</t>
  </si>
  <si>
    <t>18,20 (1)</t>
  </si>
  <si>
    <t>В таблицах приведены данные по капитальному жилищному фонду с полным набором благоустройства</t>
  </si>
  <si>
    <t>17,36 (2)</t>
  </si>
  <si>
    <t>17,31 (3)</t>
  </si>
  <si>
    <t>13,99 (6)</t>
  </si>
  <si>
    <t>17,23 (4)</t>
  </si>
  <si>
    <t>17,00 (5)</t>
  </si>
  <si>
    <t>13,11 (7)</t>
  </si>
  <si>
    <t>31,70 (1)</t>
  </si>
  <si>
    <t>43,41 (1)</t>
  </si>
  <si>
    <t>98,40 (7)</t>
  </si>
  <si>
    <t>7,97 (6)</t>
  </si>
  <si>
    <t>5,60 (8)</t>
  </si>
  <si>
    <t>Вывоз твердых бытовых отходов</t>
  </si>
  <si>
    <t>243,22(2)</t>
  </si>
  <si>
    <t>0,120(4)</t>
  </si>
  <si>
    <t>0,125(3)</t>
  </si>
  <si>
    <t>0,127(2)</t>
  </si>
  <si>
    <t>0,167(1)</t>
  </si>
  <si>
    <t>0,113(5)</t>
  </si>
  <si>
    <t>0,104(6)</t>
  </si>
  <si>
    <t>132,12(3)</t>
  </si>
  <si>
    <t>151,20(3)</t>
  </si>
  <si>
    <t>172,28(2)</t>
  </si>
  <si>
    <t>101,60(5)</t>
  </si>
  <si>
    <t>29,19(2)</t>
  </si>
  <si>
    <t>темп роста %</t>
  </si>
  <si>
    <t>9,68*</t>
  </si>
  <si>
    <t>-</t>
  </si>
  <si>
    <t>128,34(1)</t>
  </si>
  <si>
    <t>Размещение твердых бытовых отходов</t>
  </si>
  <si>
    <t>604,16(3)</t>
  </si>
  <si>
    <t>403,45(8)</t>
  </si>
  <si>
    <t>453,12(7)</t>
  </si>
  <si>
    <t>952,26(1)</t>
  </si>
  <si>
    <t>520,38(6)</t>
  </si>
  <si>
    <t>522,00(5)</t>
  </si>
  <si>
    <t>549,88(4)</t>
  </si>
  <si>
    <t>Техническое обслуживание и текущий ремонт лифтов</t>
  </si>
  <si>
    <t xml:space="preserve">Сравнительный анализ нормативов потребления по видам жилищно-коммунальных услуг по отдельным городам округа </t>
  </si>
  <si>
    <t>* - среднегодовой норматив потребления</t>
  </si>
  <si>
    <t>Техническое обслуживание и ремонт лифтов</t>
  </si>
  <si>
    <t>Нижне-Вартовск</t>
  </si>
  <si>
    <t>Нефте-Юганск</t>
  </si>
  <si>
    <t>* -  цена рассчитана на 1 кв. м общей площади</t>
  </si>
  <si>
    <t>102,00(2)</t>
  </si>
  <si>
    <t>95,00(3)</t>
  </si>
  <si>
    <t>91,76(4)</t>
  </si>
  <si>
    <t>195,41(3)</t>
  </si>
  <si>
    <t>25,95(8)</t>
  </si>
  <si>
    <t>31,2(7)</t>
  </si>
  <si>
    <t>72,98(2)</t>
  </si>
  <si>
    <t>36,25(6)</t>
  </si>
  <si>
    <t>118,0(1)</t>
  </si>
  <si>
    <t>67,21(3)</t>
  </si>
  <si>
    <t>51,16(4)</t>
  </si>
  <si>
    <t>47,15(5)</t>
  </si>
  <si>
    <t>21,15(4)</t>
  </si>
  <si>
    <t>24,43(3)</t>
  </si>
  <si>
    <t>19,80(5)</t>
  </si>
  <si>
    <t>18,83(6)</t>
  </si>
  <si>
    <t>3,51(7)</t>
  </si>
  <si>
    <t>3,84(6)</t>
  </si>
  <si>
    <t>8,12(3)</t>
  </si>
  <si>
    <t>4,17(5)</t>
  </si>
  <si>
    <t>8,07(4)</t>
  </si>
  <si>
    <t>Водоснабжение</t>
  </si>
  <si>
    <t>ЭОЦ (с НДС) на 01.11.05, руб./м2</t>
  </si>
  <si>
    <t>ЭОЦ (с НДС) на 01.11.05, руб./чел.</t>
  </si>
  <si>
    <t>ЭОЦ (с НДС) на 01.11.05, руб./м3</t>
  </si>
  <si>
    <t>90,01(8)</t>
  </si>
  <si>
    <t>217,98(4)</t>
  </si>
  <si>
    <t>345,14(1)</t>
  </si>
  <si>
    <t>223,32(7)</t>
  </si>
  <si>
    <t>176,29(6)</t>
  </si>
  <si>
    <t>220,60(5)</t>
  </si>
  <si>
    <t>ЭОТ (с НДС) на 01.11.05, руб./Гкал.</t>
  </si>
  <si>
    <t>ЭОТ (с НДС) на 01.11.05, руб./м3</t>
  </si>
  <si>
    <t>норматив на 01.11.2005, м2/чел.</t>
  </si>
  <si>
    <t>норматив на 01.11.2005, м3/чел.</t>
  </si>
  <si>
    <t>норматив на 01.11.2005, Гкал/м2</t>
  </si>
  <si>
    <t>норматив на 01.11.2005, Гкал/чел.</t>
  </si>
  <si>
    <t>24,19(1)</t>
  </si>
  <si>
    <t>14,00 (6)</t>
  </si>
  <si>
    <t>13,10 (7)</t>
  </si>
  <si>
    <t>18,20 (2)</t>
  </si>
  <si>
    <t>17,70 (3)</t>
  </si>
  <si>
    <t>17,15 (4)</t>
  </si>
  <si>
    <t>15,56(5)</t>
  </si>
  <si>
    <t>8,01(8)</t>
  </si>
  <si>
    <t>34,56(1)</t>
  </si>
  <si>
    <t>13,16(7)</t>
  </si>
  <si>
    <t>3,25(8)</t>
  </si>
  <si>
    <t>9,27(2)</t>
  </si>
  <si>
    <t>14,75(1)</t>
  </si>
  <si>
    <t>9,27 (8)</t>
  </si>
  <si>
    <t>23,81(1)</t>
  </si>
  <si>
    <t>13,05 (6)</t>
  </si>
  <si>
    <t>14,57 (3)</t>
  </si>
  <si>
    <t>13,30 (5)</t>
  </si>
  <si>
    <t>118,92(4)</t>
  </si>
  <si>
    <t>177,62(1)</t>
  </si>
  <si>
    <t>145,91(2)</t>
  </si>
  <si>
    <t>110,67(5)</t>
  </si>
  <si>
    <t>103,54(6)</t>
  </si>
  <si>
    <t>97,10 (7)</t>
  </si>
  <si>
    <t>100,14(6)</t>
  </si>
  <si>
    <t>230,08(1)</t>
  </si>
  <si>
    <t>151,12(4)</t>
  </si>
  <si>
    <t>99,36 (7)</t>
  </si>
  <si>
    <t>143,19(1)</t>
  </si>
  <si>
    <t>126,28(3)</t>
  </si>
  <si>
    <t>134,27(2)</t>
  </si>
  <si>
    <t>124,89(4)</t>
  </si>
  <si>
    <t>107,44(6)</t>
  </si>
  <si>
    <t>93,0-100,0</t>
  </si>
  <si>
    <t>3,32***</t>
  </si>
  <si>
    <t>ЭОЦ (с НДС) на 01.02.06, руб./м2</t>
  </si>
  <si>
    <t>ЭОЦ (с НДС) на 01.02.06, руб./чел.</t>
  </si>
  <si>
    <t>ЭОЦ (с НДС) на 01.02.06, руб./м3</t>
  </si>
  <si>
    <t>19,22 (1)</t>
  </si>
  <si>
    <t>17,23 (3)</t>
  </si>
  <si>
    <t>17,00 (4)</t>
  </si>
  <si>
    <t>16,89 (5)</t>
  </si>
  <si>
    <t>14,31 (6)</t>
  </si>
  <si>
    <t>13,99 (7)</t>
  </si>
  <si>
    <t>13,05 (8)</t>
  </si>
  <si>
    <t>102,00(3)</t>
  </si>
  <si>
    <t>376,42(1)</t>
  </si>
  <si>
    <t>275,00(2)</t>
  </si>
  <si>
    <t>251,93(3)</t>
  </si>
  <si>
    <t>222,55(4)</t>
  </si>
  <si>
    <t>195,41(5)</t>
  </si>
  <si>
    <t>160,83(6)</t>
  </si>
  <si>
    <t>90,01(7)</t>
  </si>
  <si>
    <t xml:space="preserve"> -</t>
  </si>
  <si>
    <t>83,90(2)</t>
  </si>
  <si>
    <t>138,06(1)</t>
  </si>
  <si>
    <t>43,51(3)</t>
  </si>
  <si>
    <t>41,02(4)</t>
  </si>
  <si>
    <t>36,59(5)</t>
  </si>
  <si>
    <t>34,07(6)</t>
  </si>
  <si>
    <t>25,95(7)</t>
  </si>
  <si>
    <t>ЭОТ (с НДС) на 01.02.06, руб./Гкал.</t>
  </si>
  <si>
    <t>500,45(8)</t>
  </si>
  <si>
    <t>518,08(7)</t>
  </si>
  <si>
    <t>1008,9(1)</t>
  </si>
  <si>
    <t>597,08(5)</t>
  </si>
  <si>
    <t>551,00(6)</t>
  </si>
  <si>
    <t>ЭОТ (с НДС) на 01.02.06, руб./м3</t>
  </si>
  <si>
    <t>38,74 (1)</t>
  </si>
  <si>
    <t>12,80 (7)</t>
  </si>
  <si>
    <t>49,75 (1)</t>
  </si>
  <si>
    <t>11,51 (7)</t>
  </si>
  <si>
    <t>14,16 (4)</t>
  </si>
  <si>
    <t xml:space="preserve">13,68 (5) </t>
  </si>
  <si>
    <t>13,33 (6)</t>
  </si>
  <si>
    <t>19,82 (2)</t>
  </si>
  <si>
    <t>18,88 (3)</t>
  </si>
  <si>
    <t>16,80 (4)</t>
  </si>
  <si>
    <t xml:space="preserve">по состоянию на 01.02.2006 года                                                                                                         </t>
  </si>
  <si>
    <t>норматив на 01.02.2006, м2/чел.</t>
  </si>
  <si>
    <t>норматив на 01.02.2006, м3/чел.</t>
  </si>
  <si>
    <t>**</t>
  </si>
  <si>
    <t>** - затраты по вывозу и размещению твердых бытовых отходов входят в затраты по содержанию жилья</t>
  </si>
  <si>
    <t>0,127(1)</t>
  </si>
  <si>
    <t>0,125(2)</t>
  </si>
  <si>
    <t>0,113(3)</t>
  </si>
  <si>
    <t>0,103(4)</t>
  </si>
  <si>
    <t>0,100(5)</t>
  </si>
  <si>
    <t>норматив на 01.02.2006, Гкал/м2</t>
  </si>
  <si>
    <t>0,028 (1)</t>
  </si>
  <si>
    <t>0,027 (2)</t>
  </si>
  <si>
    <t>норматив на 01.02.2006, Гкал/чел.</t>
  </si>
  <si>
    <t>уровень платежей по состоянию на 01.02.06. %</t>
  </si>
  <si>
    <t>уровень платежей по состоянию на 01.11.05. %</t>
  </si>
  <si>
    <t xml:space="preserve">Сравнительный анализ ставок платы для населения по видам жилищно-коммунальных услуг по отдельным городам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01.02.2006 года </t>
  </si>
  <si>
    <t>ставка платы (с НДС) на 01.11.05. руб./ м2</t>
  </si>
  <si>
    <t>ставка платы (с НДС) на 01.02.06. руб./ м2</t>
  </si>
  <si>
    <t>17,15 (3)</t>
  </si>
  <si>
    <t>16,88 (4)</t>
  </si>
  <si>
    <t>14,32 (6)</t>
  </si>
  <si>
    <t>14,00 (7)</t>
  </si>
  <si>
    <t>ставка платы (с НДС) на 01.11.05. руб./чел.</t>
  </si>
  <si>
    <t>ставка платы (с НДС) на 01.02.06. руб./чел.</t>
  </si>
  <si>
    <t xml:space="preserve">* -  ставка платы рассчитана на 1 кв. м общей площади, на 01.02.06.- в рублях на 1 человека </t>
  </si>
  <si>
    <t>105,94*</t>
  </si>
  <si>
    <t>ставка платы (с НДС) на 01.11.05. руб./ чел.</t>
  </si>
  <si>
    <t>ставка платы (с НДС) на 01.02.06. руб./ чел.</t>
  </si>
  <si>
    <t>37,15(1)</t>
  </si>
  <si>
    <t>10,66(2)</t>
  </si>
  <si>
    <t>17,26(1)</t>
  </si>
  <si>
    <t>4,61(3)</t>
  </si>
  <si>
    <t>4,17(4)</t>
  </si>
  <si>
    <t>3,83(5)</t>
  </si>
  <si>
    <t>3,66(6)</t>
  </si>
  <si>
    <t>3,25(7)</t>
  </si>
  <si>
    <t>24,51(2)</t>
  </si>
  <si>
    <t>18,83(4)</t>
  </si>
  <si>
    <t>17,12(5)</t>
  </si>
  <si>
    <t>16,08(6)</t>
  </si>
  <si>
    <t>8,01(7)</t>
  </si>
  <si>
    <t>12,95 (7)</t>
  </si>
  <si>
    <t>25,22(1)</t>
  </si>
  <si>
    <t>16,72 (3)</t>
  </si>
  <si>
    <t>18,06 (2)</t>
  </si>
  <si>
    <t>13,78 (5)</t>
  </si>
  <si>
    <t>13,30 (6)</t>
  </si>
  <si>
    <t>ставка платы (с НДС) на 01.02.06 руб./ чел.</t>
  </si>
  <si>
    <t>65,84 (8)</t>
  </si>
  <si>
    <t>203,53(1)</t>
  </si>
  <si>
    <t>132,12(2)</t>
  </si>
  <si>
    <t>121,57(3)</t>
  </si>
  <si>
    <t>119,04(4)</t>
  </si>
  <si>
    <t>103,54(5)</t>
  </si>
  <si>
    <t>97,10 (6)</t>
  </si>
  <si>
    <t>87,55(7)</t>
  </si>
  <si>
    <t>99,04 (8)</t>
  </si>
  <si>
    <t>263,67(1)</t>
  </si>
  <si>
    <t>123,19(5)</t>
  </si>
  <si>
    <t>180,76(2)</t>
  </si>
  <si>
    <t>172,28(3)</t>
  </si>
  <si>
    <t>151,20(4)</t>
  </si>
  <si>
    <t>105,80(5)</t>
  </si>
  <si>
    <t>101,60(6)</t>
  </si>
  <si>
    <t>100,14(7)</t>
  </si>
  <si>
    <t>98,04 (8)</t>
  </si>
  <si>
    <t>130,04 (5)</t>
  </si>
  <si>
    <t>172,10(1)</t>
  </si>
  <si>
    <t>143,30(2)</t>
  </si>
  <si>
    <t>143,19(3)</t>
  </si>
  <si>
    <t>142,25(4)</t>
  </si>
  <si>
    <t>126,28(6)</t>
  </si>
  <si>
    <t>Сравнительный анализ экономически обоснованных (полных) цен и тарифов по видам жилищно-коммунальных услуг по отдельным городам округа  по состоянию на 01.02.2006</t>
  </si>
  <si>
    <t xml:space="preserve">** - для сопоставимости данных приведен норматив на холодное и горячее водоснабжение: в г. Нефтеюганске (4,65+3,32=7,97); в Урае (5,48+3,65=9,13) </t>
  </si>
  <si>
    <t xml:space="preserve">*** - единица измерения - м3/чел. </t>
  </si>
  <si>
    <t>7,97** (6)</t>
  </si>
  <si>
    <t>9,13** (3)</t>
  </si>
  <si>
    <t>3,65***</t>
  </si>
  <si>
    <t>14,50(4)*</t>
  </si>
  <si>
    <t>94-100,0</t>
  </si>
  <si>
    <t>93,82-100</t>
  </si>
  <si>
    <t>Стоимость содержания типовой двухкомнатной квартиры (общая площадь 54 кв. м) для семьи из трех человек по отдельным городам ХМАО по состоянию на 01.02.2006 года*</t>
  </si>
  <si>
    <t>* - исчислена исходя из среднегодовой ставки платы.</t>
  </si>
  <si>
    <t xml:space="preserve"> * - среднегодовая ставка платы  </t>
  </si>
  <si>
    <t>0,141 (6)</t>
  </si>
  <si>
    <t>0,1478 (5)</t>
  </si>
  <si>
    <t>692,66(2)</t>
  </si>
  <si>
    <t>669,06(3)</t>
  </si>
  <si>
    <t>660,8 (4)</t>
  </si>
  <si>
    <t>Сравнительный анализ уровней платежей граждан по видам жилищно-коммунальных услуг по отдельным городам округа                                                                                                                          по состоянию на 01.02.2006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</si>
</sst>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%"/>
    <numFmt numFmtId="180" formatCode="[$€-2]\ ###,000_);[Red]\([$€-2]\ ###,000\)"/>
  </numFmts>
  <fonts count="16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sz val="8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10"/>
      <color indexed="8"/>
      <name val="Arial Cyr"/>
      <family val="2"/>
    </font>
    <font>
      <i/>
      <sz val="10"/>
      <color indexed="8"/>
      <name val="Arial Cyr"/>
      <family val="2"/>
    </font>
    <font>
      <b/>
      <sz val="10"/>
      <name val="Arial Cyr"/>
      <family val="0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173" fontId="0" fillId="0" borderId="1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Border="1" applyAlignment="1">
      <alignment wrapText="1"/>
      <protection/>
    </xf>
    <xf numFmtId="0" fontId="0" fillId="0" borderId="0" xfId="18" applyFont="1" applyFill="1" applyBorder="1" applyAlignment="1">
      <alignment horizontal="right" wrapText="1"/>
      <protection/>
    </xf>
    <xf numFmtId="0" fontId="0" fillId="0" borderId="0" xfId="18" applyFont="1" applyFill="1" applyBorder="1" applyAlignment="1">
      <alignment horizontal="center" wrapText="1"/>
      <protection/>
    </xf>
    <xf numFmtId="0" fontId="0" fillId="0" borderId="0" xfId="18" applyFont="1" applyFill="1" applyBorder="1" applyAlignment="1">
      <alignment horizontal="center" vertical="center" wrapText="1"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center" vertical="top" wrapText="1"/>
      <protection/>
    </xf>
    <xf numFmtId="0" fontId="6" fillId="0" borderId="0" xfId="18" applyFont="1" applyAlignment="1">
      <alignment horizontal="right"/>
      <protection/>
    </xf>
    <xf numFmtId="0" fontId="5" fillId="0" borderId="0" xfId="18" applyFont="1" applyFill="1" applyAlignment="1">
      <alignment horizontal="left"/>
      <protection/>
    </xf>
    <xf numFmtId="0" fontId="5" fillId="0" borderId="0" xfId="18" applyFont="1" applyFill="1">
      <alignment/>
      <protection/>
    </xf>
    <xf numFmtId="0" fontId="0" fillId="0" borderId="2" xfId="18" applyFont="1" applyFill="1" applyBorder="1" applyAlignment="1">
      <alignment horizontal="center" vertical="center" wrapText="1"/>
      <protection/>
    </xf>
    <xf numFmtId="0" fontId="0" fillId="0" borderId="2" xfId="18" applyFont="1" applyFill="1" applyBorder="1" applyAlignment="1">
      <alignment horizontal="center" wrapText="1"/>
      <protection/>
    </xf>
    <xf numFmtId="2" fontId="0" fillId="0" borderId="3" xfId="18" applyNumberFormat="1" applyFont="1" applyFill="1" applyBorder="1" applyAlignment="1">
      <alignment horizontal="center" vertical="center" wrapText="1"/>
      <protection/>
    </xf>
    <xf numFmtId="173" fontId="0" fillId="0" borderId="3" xfId="18" applyNumberFormat="1" applyFont="1" applyFill="1" applyBorder="1" applyAlignment="1">
      <alignment horizontal="center" vertical="center" wrapText="1"/>
      <protection/>
    </xf>
    <xf numFmtId="0" fontId="0" fillId="0" borderId="4" xfId="18" applyFont="1" applyFill="1" applyBorder="1" applyAlignment="1">
      <alignment horizontal="right" vertical="top" wrapText="1"/>
      <protection/>
    </xf>
    <xf numFmtId="0" fontId="0" fillId="0" borderId="5" xfId="18" applyFont="1" applyFill="1" applyBorder="1" applyAlignment="1">
      <alignment horizontal="left" wrapText="1"/>
      <protection/>
    </xf>
    <xf numFmtId="0" fontId="0" fillId="0" borderId="6" xfId="18" applyFont="1" applyFill="1" applyBorder="1" applyAlignment="1">
      <alignment horizontal="center" wrapText="1"/>
      <protection/>
    </xf>
    <xf numFmtId="0" fontId="0" fillId="0" borderId="6" xfId="18" applyFont="1" applyFill="1" applyBorder="1" applyAlignment="1">
      <alignment horizontal="left" vertical="center" wrapText="1"/>
      <protection/>
    </xf>
    <xf numFmtId="0" fontId="0" fillId="0" borderId="7" xfId="18" applyFont="1" applyFill="1" applyBorder="1" applyAlignment="1">
      <alignment horizontal="left" vertical="center" wrapText="1"/>
      <protection/>
    </xf>
    <xf numFmtId="0" fontId="3" fillId="0" borderId="2" xfId="18" applyFont="1" applyFill="1" applyBorder="1" applyAlignment="1">
      <alignment horizontal="center" vertical="center" wrapText="1"/>
      <protection/>
    </xf>
    <xf numFmtId="0" fontId="0" fillId="0" borderId="8" xfId="18" applyFont="1" applyFill="1" applyBorder="1" applyAlignment="1">
      <alignment horizontal="right" vertical="top" wrapText="1"/>
      <protection/>
    </xf>
    <xf numFmtId="0" fontId="0" fillId="0" borderId="9" xfId="18" applyFont="1" applyFill="1" applyBorder="1" applyAlignment="1">
      <alignment horizontal="center" wrapText="1"/>
      <protection/>
    </xf>
    <xf numFmtId="0" fontId="0" fillId="0" borderId="9" xfId="18" applyFont="1" applyFill="1" applyBorder="1" applyAlignment="1">
      <alignment horizontal="left" vertical="center" wrapText="1"/>
      <protection/>
    </xf>
    <xf numFmtId="0" fontId="0" fillId="0" borderId="10" xfId="18" applyFont="1" applyFill="1" applyBorder="1" applyAlignment="1">
      <alignment horizontal="left" vertical="center" wrapText="1"/>
      <protection/>
    </xf>
    <xf numFmtId="173" fontId="4" fillId="0" borderId="1" xfId="18" applyNumberFormat="1" applyFont="1" applyFill="1" applyBorder="1" applyAlignment="1">
      <alignment horizontal="center" vertical="center" wrapText="1"/>
      <protection/>
    </xf>
    <xf numFmtId="2" fontId="4" fillId="0" borderId="2" xfId="18" applyNumberFormat="1" applyFont="1" applyFill="1" applyBorder="1" applyAlignment="1">
      <alignment horizontal="center" vertical="center" wrapText="1"/>
      <protection/>
    </xf>
    <xf numFmtId="173" fontId="4" fillId="0" borderId="3" xfId="18" applyNumberFormat="1" applyFont="1" applyFill="1" applyBorder="1" applyAlignment="1">
      <alignment horizontal="center" vertical="center" wrapText="1"/>
      <protection/>
    </xf>
    <xf numFmtId="2" fontId="4" fillId="0" borderId="11" xfId="18" applyNumberFormat="1" applyFont="1" applyFill="1" applyBorder="1" applyAlignment="1">
      <alignment horizontal="center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0" fontId="0" fillId="0" borderId="12" xfId="18" applyFont="1" applyFill="1" applyBorder="1" applyAlignment="1">
      <alignment horizontal="center" wrapText="1"/>
      <protection/>
    </xf>
    <xf numFmtId="2" fontId="0" fillId="0" borderId="0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wrapText="1"/>
      <protection/>
    </xf>
    <xf numFmtId="0" fontId="0" fillId="2" borderId="1" xfId="18" applyFont="1" applyFill="1" applyBorder="1" applyAlignment="1">
      <alignment horizontal="center" vertical="center" wrapText="1"/>
      <protection/>
    </xf>
    <xf numFmtId="0" fontId="0" fillId="2" borderId="2" xfId="18" applyFont="1" applyFill="1" applyBorder="1" applyAlignment="1">
      <alignment horizontal="center" vertical="center" wrapText="1"/>
      <protection/>
    </xf>
    <xf numFmtId="0" fontId="0" fillId="2" borderId="1" xfId="18" applyFont="1" applyFill="1" applyBorder="1" applyAlignment="1">
      <alignment horizontal="center" wrapText="1"/>
      <protection/>
    </xf>
    <xf numFmtId="0" fontId="0" fillId="2" borderId="12" xfId="18" applyFont="1" applyFill="1" applyBorder="1" applyAlignment="1">
      <alignment horizontal="center" wrapText="1"/>
      <protection/>
    </xf>
    <xf numFmtId="173" fontId="4" fillId="2" borderId="1" xfId="18" applyNumberFormat="1" applyFont="1" applyFill="1" applyBorder="1" applyAlignment="1">
      <alignment horizontal="center" vertical="center" wrapText="1"/>
      <protection/>
    </xf>
    <xf numFmtId="2" fontId="4" fillId="2" borderId="2" xfId="18" applyNumberFormat="1" applyFont="1" applyFill="1" applyBorder="1" applyAlignment="1">
      <alignment horizontal="center" vertical="center" wrapText="1"/>
      <protection/>
    </xf>
    <xf numFmtId="2" fontId="0" fillId="2" borderId="3" xfId="18" applyNumberFormat="1" applyFont="1" applyFill="1" applyBorder="1" applyAlignment="1">
      <alignment horizontal="center" vertical="center" wrapText="1"/>
      <protection/>
    </xf>
    <xf numFmtId="173" fontId="4" fillId="2" borderId="3" xfId="18" applyNumberFormat="1" applyFont="1" applyFill="1" applyBorder="1" applyAlignment="1">
      <alignment horizontal="center" vertical="center" wrapText="1"/>
      <protection/>
    </xf>
    <xf numFmtId="2" fontId="4" fillId="2" borderId="11" xfId="18" applyNumberFormat="1" applyFont="1" applyFill="1" applyBorder="1" applyAlignment="1">
      <alignment horizontal="center" vertical="center" wrapText="1"/>
      <protection/>
    </xf>
    <xf numFmtId="173" fontId="11" fillId="2" borderId="1" xfId="18" applyNumberFormat="1" applyFont="1" applyFill="1" applyBorder="1" applyAlignment="1">
      <alignment horizontal="center" vertical="center" wrapText="1"/>
      <protection/>
    </xf>
    <xf numFmtId="0" fontId="3" fillId="2" borderId="1" xfId="18" applyFont="1" applyFill="1" applyBorder="1" applyAlignment="1">
      <alignment horizontal="center" vertical="center" wrapText="1"/>
      <protection/>
    </xf>
    <xf numFmtId="0" fontId="3" fillId="2" borderId="2" xfId="18" applyFont="1" applyFill="1" applyBorder="1" applyAlignment="1">
      <alignment horizontal="center" vertical="center" wrapText="1"/>
      <protection/>
    </xf>
    <xf numFmtId="172" fontId="0" fillId="2" borderId="1" xfId="18" applyNumberFormat="1" applyFont="1" applyFill="1" applyBorder="1" applyAlignment="1">
      <alignment horizontal="center" vertical="center" wrapText="1"/>
      <protection/>
    </xf>
    <xf numFmtId="172" fontId="0" fillId="2" borderId="3" xfId="18" applyNumberFormat="1" applyFont="1" applyFill="1" applyBorder="1" applyAlignment="1">
      <alignment horizontal="center" vertical="center" wrapText="1"/>
      <protection/>
    </xf>
    <xf numFmtId="173" fontId="0" fillId="2" borderId="1" xfId="18" applyNumberFormat="1" applyFont="1" applyFill="1" applyBorder="1" applyAlignment="1">
      <alignment horizontal="center" vertical="center" wrapText="1"/>
      <protection/>
    </xf>
    <xf numFmtId="0" fontId="0" fillId="2" borderId="2" xfId="18" applyFont="1" applyFill="1" applyBorder="1" applyAlignment="1">
      <alignment horizontal="center" wrapText="1"/>
      <protection/>
    </xf>
    <xf numFmtId="173" fontId="0" fillId="2" borderId="3" xfId="18" applyNumberFormat="1" applyFont="1" applyFill="1" applyBorder="1" applyAlignment="1">
      <alignment horizontal="center" vertical="center" wrapText="1"/>
      <protection/>
    </xf>
    <xf numFmtId="0" fontId="0" fillId="0" borderId="0" xfId="18" applyFont="1" applyFill="1" applyBorder="1" applyAlignment="1">
      <alignment horizontal="left" vertic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173" fontId="0" fillId="2" borderId="0" xfId="18" applyNumberFormat="1" applyFont="1" applyFill="1" applyBorder="1" applyAlignment="1">
      <alignment horizontal="center" vertical="center" wrapText="1"/>
      <protection/>
    </xf>
    <xf numFmtId="0" fontId="0" fillId="2" borderId="0" xfId="18" applyFont="1" applyFill="1" applyBorder="1" applyAlignment="1">
      <alignment horizontal="center" vertical="center" wrapText="1"/>
      <protection/>
    </xf>
    <xf numFmtId="2" fontId="11" fillId="2" borderId="2" xfId="18" applyNumberFormat="1" applyFont="1" applyFill="1" applyBorder="1" applyAlignment="1">
      <alignment horizontal="center" vertical="center" wrapText="1"/>
      <protection/>
    </xf>
    <xf numFmtId="173" fontId="11" fillId="2" borderId="3" xfId="18" applyNumberFormat="1" applyFont="1" applyFill="1" applyBorder="1" applyAlignment="1">
      <alignment horizontal="center" vertical="center" wrapText="1"/>
      <protection/>
    </xf>
    <xf numFmtId="2" fontId="11" fillId="2" borderId="11" xfId="18" applyNumberFormat="1" applyFont="1" applyFill="1" applyBorder="1" applyAlignment="1">
      <alignment horizontal="center" vertical="center" wrapText="1"/>
      <protection/>
    </xf>
    <xf numFmtId="0" fontId="1" fillId="2" borderId="0" xfId="18" applyFont="1" applyFill="1">
      <alignment/>
      <protection/>
    </xf>
    <xf numFmtId="0" fontId="1" fillId="0" borderId="0" xfId="18" applyFont="1" applyBorder="1">
      <alignment/>
      <protection/>
    </xf>
    <xf numFmtId="0" fontId="3" fillId="0" borderId="0" xfId="18" applyFont="1" applyFill="1" applyBorder="1" applyAlignment="1">
      <alignment horizontal="center" vertical="center" wrapText="1"/>
      <protection/>
    </xf>
    <xf numFmtId="0" fontId="12" fillId="0" borderId="6" xfId="18" applyFont="1" applyFill="1" applyBorder="1" applyAlignment="1">
      <alignment horizontal="left" vertical="center" wrapText="1"/>
      <protection/>
    </xf>
    <xf numFmtId="0" fontId="8" fillId="0" borderId="0" xfId="18" applyFont="1" applyFill="1" applyBorder="1" applyAlignment="1">
      <alignment horizontal="center" wrapText="1"/>
      <protection/>
    </xf>
    <xf numFmtId="0" fontId="12" fillId="0" borderId="7" xfId="18" applyFont="1" applyFill="1" applyBorder="1" applyAlignment="1">
      <alignment horizontal="left" vertical="center" wrapText="1"/>
      <protection/>
    </xf>
    <xf numFmtId="2" fontId="12" fillId="2" borderId="3" xfId="18" applyNumberFormat="1" applyFont="1" applyFill="1" applyBorder="1" applyAlignment="1">
      <alignment horizontal="center" vertical="center" wrapText="1"/>
      <protection/>
    </xf>
    <xf numFmtId="173" fontId="12" fillId="2" borderId="3" xfId="18" applyNumberFormat="1" applyFont="1" applyFill="1" applyBorder="1" applyAlignment="1">
      <alignment horizontal="center" vertical="center" wrapText="1"/>
      <protection/>
    </xf>
    <xf numFmtId="2" fontId="12" fillId="0" borderId="11" xfId="18" applyNumberFormat="1" applyFont="1" applyFill="1" applyBorder="1" applyAlignment="1">
      <alignment horizontal="center" vertical="center" wrapText="1"/>
      <protection/>
    </xf>
    <xf numFmtId="2" fontId="12" fillId="2" borderId="11" xfId="18" applyNumberFormat="1" applyFont="1" applyFill="1" applyBorder="1" applyAlignment="1">
      <alignment horizontal="center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173" fontId="0" fillId="2" borderId="1" xfId="18" applyNumberFormat="1" applyFont="1" applyFill="1" applyBorder="1" applyAlignment="1">
      <alignment horizontal="center" vertical="center" wrapText="1"/>
      <protection/>
    </xf>
    <xf numFmtId="2" fontId="0" fillId="0" borderId="2" xfId="18" applyNumberFormat="1" applyFont="1" applyFill="1" applyBorder="1" applyAlignment="1">
      <alignment horizontal="center" vertical="center" wrapText="1"/>
      <protection/>
    </xf>
    <xf numFmtId="173" fontId="0" fillId="0" borderId="1" xfId="18" applyNumberFormat="1" applyFont="1" applyFill="1" applyBorder="1" applyAlignment="1">
      <alignment horizontal="center" vertical="center" wrapText="1"/>
      <protection/>
    </xf>
    <xf numFmtId="0" fontId="0" fillId="0" borderId="6" xfId="18" applyFont="1" applyFill="1" applyBorder="1" applyAlignment="1">
      <alignment horizontal="left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173" fontId="4" fillId="2" borderId="1" xfId="18" applyNumberFormat="1" applyFont="1" applyFill="1" applyBorder="1" applyAlignment="1">
      <alignment horizontal="center" vertical="center" wrapText="1"/>
      <protection/>
    </xf>
    <xf numFmtId="2" fontId="4" fillId="2" borderId="2" xfId="18" applyNumberFormat="1" applyFont="1" applyFill="1" applyBorder="1" applyAlignment="1">
      <alignment horizontal="center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0" fontId="1" fillId="0" borderId="13" xfId="18" applyFont="1" applyFill="1" applyBorder="1" applyAlignment="1">
      <alignment horizontal="center"/>
      <protection/>
    </xf>
    <xf numFmtId="0" fontId="1" fillId="0" borderId="1" xfId="18" applyFont="1" applyFill="1" applyBorder="1" applyAlignment="1">
      <alignment horizontal="center"/>
      <protection/>
    </xf>
    <xf numFmtId="0" fontId="1" fillId="0" borderId="2" xfId="18" applyFont="1" applyFill="1" applyBorder="1" applyAlignment="1">
      <alignment horizontal="center"/>
      <protection/>
    </xf>
    <xf numFmtId="0" fontId="1" fillId="0" borderId="14" xfId="18" applyFont="1" applyFill="1" applyBorder="1" applyAlignment="1">
      <alignment horizontal="center" vertical="center" wrapText="1"/>
      <protection/>
    </xf>
    <xf numFmtId="0" fontId="1" fillId="0" borderId="15" xfId="18" applyFont="1" applyFill="1" applyBorder="1" applyAlignment="1">
      <alignment horizontal="center" vertical="center" wrapText="1"/>
      <protection/>
    </xf>
    <xf numFmtId="0" fontId="0" fillId="2" borderId="13" xfId="18" applyFont="1" applyFill="1" applyBorder="1" applyAlignment="1">
      <alignment horizontal="center" wrapText="1"/>
      <protection/>
    </xf>
    <xf numFmtId="2" fontId="0" fillId="2" borderId="13" xfId="18" applyNumberFormat="1" applyFont="1" applyFill="1" applyBorder="1" applyAlignment="1">
      <alignment horizontal="center" vertical="center" wrapText="1"/>
      <protection/>
    </xf>
    <xf numFmtId="2" fontId="0" fillId="2" borderId="16" xfId="18" applyNumberFormat="1" applyFont="1" applyFill="1" applyBorder="1" applyAlignment="1">
      <alignment horizontal="center" vertical="center" wrapText="1"/>
      <protection/>
    </xf>
    <xf numFmtId="173" fontId="13" fillId="0" borderId="1" xfId="18" applyNumberFormat="1" applyFont="1" applyFill="1" applyBorder="1" applyAlignment="1">
      <alignment horizontal="center" vertical="center" wrapText="1"/>
      <protection/>
    </xf>
    <xf numFmtId="2" fontId="13" fillId="0" borderId="2" xfId="18" applyNumberFormat="1" applyFont="1" applyFill="1" applyBorder="1" applyAlignment="1">
      <alignment horizontal="center" vertical="center" wrapText="1"/>
      <protection/>
    </xf>
    <xf numFmtId="173" fontId="13" fillId="0" borderId="3" xfId="18" applyNumberFormat="1" applyFont="1" applyFill="1" applyBorder="1" applyAlignment="1">
      <alignment horizontal="center" vertical="center" wrapText="1"/>
      <protection/>
    </xf>
    <xf numFmtId="2" fontId="13" fillId="0" borderId="11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  <protection/>
    </xf>
    <xf numFmtId="49" fontId="0" fillId="0" borderId="4" xfId="18" applyNumberFormat="1" applyFont="1" applyFill="1" applyBorder="1" applyAlignment="1">
      <alignment horizontal="right" vertical="top" wrapText="1"/>
      <protection/>
    </xf>
    <xf numFmtId="172" fontId="1" fillId="0" borderId="1" xfId="18" applyNumberFormat="1" applyFont="1" applyFill="1" applyBorder="1" applyAlignment="1">
      <alignment horizontal="center" vertical="center" wrapText="1"/>
      <protection/>
    </xf>
    <xf numFmtId="173" fontId="1" fillId="0" borderId="1" xfId="18" applyNumberFormat="1" applyFont="1" applyFill="1" applyBorder="1" applyAlignment="1">
      <alignment horizontal="center" vertical="center" wrapText="1"/>
      <protection/>
    </xf>
    <xf numFmtId="0" fontId="0" fillId="0" borderId="17" xfId="18" applyFont="1" applyFill="1" applyBorder="1" applyAlignment="1">
      <alignment horizontal="center" wrapText="1"/>
      <protection/>
    </xf>
    <xf numFmtId="173" fontId="7" fillId="0" borderId="17" xfId="18" applyNumberFormat="1" applyFont="1" applyFill="1" applyBorder="1" applyAlignment="1">
      <alignment horizontal="center" vertical="center" wrapText="1"/>
      <protection/>
    </xf>
    <xf numFmtId="0" fontId="3" fillId="0" borderId="17" xfId="18" applyFont="1" applyFill="1" applyBorder="1" applyAlignment="1">
      <alignment horizontal="center" vertical="center" wrapText="1"/>
      <protection/>
    </xf>
    <xf numFmtId="173" fontId="1" fillId="0" borderId="13" xfId="18" applyNumberFormat="1" applyFont="1" applyFill="1" applyBorder="1" applyAlignment="1">
      <alignment horizontal="center" vertical="center" wrapText="1"/>
      <protection/>
    </xf>
    <xf numFmtId="173" fontId="1" fillId="0" borderId="16" xfId="18" applyNumberFormat="1" applyFont="1" applyFill="1" applyBorder="1" applyAlignment="1">
      <alignment horizontal="center" vertical="center" wrapText="1"/>
      <protection/>
    </xf>
    <xf numFmtId="173" fontId="1" fillId="0" borderId="3" xfId="18" applyNumberFormat="1" applyFont="1" applyFill="1" applyBorder="1" applyAlignment="1">
      <alignment horizontal="center" vertical="center" wrapText="1"/>
      <protection/>
    </xf>
    <xf numFmtId="173" fontId="4" fillId="0" borderId="2" xfId="18" applyNumberFormat="1" applyFont="1" applyFill="1" applyBorder="1" applyAlignment="1">
      <alignment horizontal="center" vertical="center" wrapText="1"/>
      <protection/>
    </xf>
    <xf numFmtId="173" fontId="0" fillId="0" borderId="1" xfId="18" applyNumberFormat="1" applyFont="1" applyFill="1" applyBorder="1" applyAlignment="1">
      <alignment horizontal="center" vertical="center" wrapText="1"/>
      <protection/>
    </xf>
    <xf numFmtId="173" fontId="4" fillId="0" borderId="2" xfId="18" applyNumberFormat="1" applyFont="1" applyFill="1" applyBorder="1" applyAlignment="1">
      <alignment horizontal="center" vertical="center" wrapText="1"/>
      <protection/>
    </xf>
    <xf numFmtId="173" fontId="4" fillId="0" borderId="17" xfId="18" applyNumberFormat="1" applyFont="1" applyFill="1" applyBorder="1" applyAlignment="1">
      <alignment horizontal="center" vertical="center" wrapText="1"/>
      <protection/>
    </xf>
    <xf numFmtId="173" fontId="4" fillId="2" borderId="2" xfId="18" applyNumberFormat="1" applyFont="1" applyFill="1" applyBorder="1" applyAlignment="1">
      <alignment horizontal="center" vertical="center" wrapText="1"/>
      <protection/>
    </xf>
    <xf numFmtId="173" fontId="4" fillId="3" borderId="17" xfId="18" applyNumberFormat="1" applyFont="1" applyFill="1" applyBorder="1" applyAlignment="1">
      <alignment horizontal="center" vertical="center" wrapText="1"/>
      <protection/>
    </xf>
    <xf numFmtId="173" fontId="4" fillId="2" borderId="17" xfId="18" applyNumberFormat="1" applyFont="1" applyFill="1" applyBorder="1" applyAlignment="1">
      <alignment horizontal="center" vertical="center" wrapText="1"/>
      <protection/>
    </xf>
    <xf numFmtId="173" fontId="4" fillId="2" borderId="11" xfId="18" applyNumberFormat="1" applyFont="1" applyFill="1" applyBorder="1" applyAlignment="1">
      <alignment horizontal="center" vertical="center" wrapText="1"/>
      <protection/>
    </xf>
    <xf numFmtId="173" fontId="4" fillId="0" borderId="18" xfId="18" applyNumberFormat="1" applyFont="1" applyFill="1" applyBorder="1" applyAlignment="1">
      <alignment horizontal="center" vertical="center" wrapText="1"/>
      <protection/>
    </xf>
    <xf numFmtId="173" fontId="13" fillId="0" borderId="11" xfId="18" applyNumberFormat="1" applyFont="1" applyFill="1" applyBorder="1" applyAlignment="1">
      <alignment horizontal="center" vertical="center" wrapText="1"/>
      <protection/>
    </xf>
    <xf numFmtId="172" fontId="0" fillId="2" borderId="1" xfId="18" applyNumberFormat="1" applyFont="1" applyFill="1" applyBorder="1" applyAlignment="1">
      <alignment horizontal="center" vertic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173" fontId="4" fillId="0" borderId="1" xfId="18" applyNumberFormat="1" applyFont="1" applyFill="1" applyBorder="1" applyAlignment="1">
      <alignment horizontal="center" vertical="center" wrapText="1"/>
      <protection/>
    </xf>
    <xf numFmtId="2" fontId="4" fillId="0" borderId="2" xfId="18" applyNumberFormat="1" applyFont="1" applyFill="1" applyBorder="1" applyAlignment="1">
      <alignment horizontal="center" vertical="center" wrapText="1"/>
      <protection/>
    </xf>
    <xf numFmtId="2" fontId="0" fillId="2" borderId="2" xfId="18" applyNumberFormat="1" applyFont="1" applyFill="1" applyBorder="1" applyAlignment="1">
      <alignment horizontal="center" vertical="center" wrapText="1"/>
      <protection/>
    </xf>
    <xf numFmtId="2" fontId="0" fillId="2" borderId="3" xfId="18" applyNumberFormat="1" applyFont="1" applyFill="1" applyBorder="1" applyAlignment="1">
      <alignment horizontal="center" vertical="center" wrapText="1"/>
      <protection/>
    </xf>
    <xf numFmtId="173" fontId="0" fillId="2" borderId="3" xfId="18" applyNumberFormat="1" applyFont="1" applyFill="1" applyBorder="1" applyAlignment="1">
      <alignment horizontal="center" vertical="center" wrapText="1"/>
      <protection/>
    </xf>
    <xf numFmtId="2" fontId="0" fillId="2" borderId="11" xfId="18" applyNumberFormat="1" applyFont="1" applyFill="1" applyBorder="1" applyAlignment="1">
      <alignment horizontal="center" vertical="center" wrapText="1"/>
      <protection/>
    </xf>
    <xf numFmtId="0" fontId="0" fillId="2" borderId="3" xfId="18" applyFont="1" applyFill="1" applyBorder="1" applyAlignment="1">
      <alignment horizontal="center" vertical="center" wrapText="1"/>
      <protection/>
    </xf>
    <xf numFmtId="2" fontId="0" fillId="2" borderId="2" xfId="18" applyNumberFormat="1" applyFont="1" applyFill="1" applyBorder="1" applyAlignment="1">
      <alignment horizontal="center" vertical="center" wrapText="1"/>
      <protection/>
    </xf>
    <xf numFmtId="2" fontId="0" fillId="2" borderId="11" xfId="18" applyNumberFormat="1" applyFont="1" applyFill="1" applyBorder="1" applyAlignment="1">
      <alignment horizontal="center" vertical="center" wrapText="1"/>
      <protection/>
    </xf>
    <xf numFmtId="0" fontId="0" fillId="2" borderId="0" xfId="18" applyFont="1" applyFill="1" applyBorder="1" applyAlignment="1">
      <alignment horizont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173" fontId="4" fillId="2" borderId="0" xfId="18" applyNumberFormat="1" applyFont="1" applyFill="1" applyBorder="1" applyAlignment="1">
      <alignment horizontal="center" vertical="center" wrapText="1"/>
      <protection/>
    </xf>
    <xf numFmtId="2" fontId="4" fillId="2" borderId="0" xfId="18" applyNumberFormat="1" applyFont="1" applyFill="1" applyBorder="1" applyAlignment="1">
      <alignment horizontal="center" vertical="center" wrapText="1"/>
      <protection/>
    </xf>
    <xf numFmtId="173" fontId="4" fillId="2" borderId="0" xfId="18" applyNumberFormat="1" applyFont="1" applyFill="1" applyBorder="1" applyAlignment="1">
      <alignment horizontal="center" vertical="center" wrapText="1"/>
      <protection/>
    </xf>
    <xf numFmtId="2" fontId="4" fillId="2" borderId="0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Border="1">
      <alignment/>
      <protection/>
    </xf>
    <xf numFmtId="172" fontId="0" fillId="2" borderId="1" xfId="18" applyNumberFormat="1" applyFont="1" applyFill="1" applyBorder="1" applyAlignment="1">
      <alignment horizontal="center" vertical="center" wrapText="1"/>
      <protection/>
    </xf>
    <xf numFmtId="0" fontId="3" fillId="2" borderId="0" xfId="18" applyFont="1" applyFill="1" applyBorder="1" applyAlignment="1">
      <alignment horizontal="center" vertical="center" wrapText="1"/>
      <protection/>
    </xf>
    <xf numFmtId="172" fontId="0" fillId="2" borderId="0" xfId="18" applyNumberFormat="1" applyFont="1" applyFill="1" applyBorder="1" applyAlignment="1">
      <alignment horizontal="center" vertical="center" wrapText="1"/>
      <protection/>
    </xf>
    <xf numFmtId="172" fontId="0" fillId="2" borderId="0" xfId="18" applyNumberFormat="1" applyFont="1" applyFill="1" applyBorder="1" applyAlignment="1">
      <alignment horizontal="center" vertical="center" wrapText="1"/>
      <protection/>
    </xf>
    <xf numFmtId="172" fontId="0" fillId="2" borderId="13" xfId="18" applyNumberFormat="1" applyFont="1" applyFill="1" applyBorder="1" applyAlignment="1">
      <alignment horizontal="center" vertical="center" wrapText="1"/>
      <protection/>
    </xf>
    <xf numFmtId="172" fontId="0" fillId="2" borderId="13" xfId="18" applyNumberFormat="1" applyFont="1" applyFill="1" applyBorder="1" applyAlignment="1">
      <alignment horizontal="center" vertical="center" wrapText="1"/>
      <protection/>
    </xf>
    <xf numFmtId="173" fontId="0" fillId="2" borderId="13" xfId="18" applyNumberFormat="1" applyFont="1" applyFill="1" applyBorder="1" applyAlignment="1">
      <alignment horizontal="center" vertical="center" wrapText="1"/>
      <protection/>
    </xf>
    <xf numFmtId="172" fontId="0" fillId="2" borderId="16" xfId="18" applyNumberFormat="1" applyFont="1" applyFill="1" applyBorder="1" applyAlignment="1">
      <alignment horizontal="center" vertical="center" wrapText="1"/>
      <protection/>
    </xf>
    <xf numFmtId="0" fontId="3" fillId="0" borderId="14" xfId="18" applyFont="1" applyFill="1" applyBorder="1" applyAlignment="1">
      <alignment horizontal="center" vertical="center" wrapText="1"/>
      <protection/>
    </xf>
    <xf numFmtId="172" fontId="0" fillId="2" borderId="13" xfId="18" applyNumberFormat="1" applyFont="1" applyFill="1" applyBorder="1" applyAlignment="1">
      <alignment horizontal="center" vertical="center" wrapText="1"/>
      <protection/>
    </xf>
    <xf numFmtId="173" fontId="4" fillId="0" borderId="0" xfId="18" applyNumberFormat="1" applyFont="1" applyFill="1" applyBorder="1" applyAlignment="1">
      <alignment horizontal="center" vertical="center" wrapText="1"/>
      <protection/>
    </xf>
    <xf numFmtId="173" fontId="13" fillId="0" borderId="0" xfId="18" applyNumberFormat="1" applyFont="1" applyFill="1" applyBorder="1" applyAlignment="1">
      <alignment horizontal="center" vertical="center" wrapText="1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0" fontId="1" fillId="0" borderId="0" xfId="18" applyFont="1" applyFill="1" applyAlignment="1">
      <alignment/>
      <protection/>
    </xf>
    <xf numFmtId="173" fontId="1" fillId="0" borderId="14" xfId="18" applyNumberFormat="1" applyFont="1" applyFill="1" applyBorder="1" applyAlignment="1">
      <alignment horizontal="center" vertical="center" wrapText="1"/>
      <protection/>
    </xf>
    <xf numFmtId="173" fontId="13" fillId="0" borderId="12" xfId="18" applyNumberFormat="1" applyFont="1" applyFill="1" applyBorder="1" applyAlignment="1">
      <alignment horizontal="center" vertical="center" wrapText="1"/>
      <protection/>
    </xf>
    <xf numFmtId="173" fontId="1" fillId="0" borderId="15" xfId="18" applyNumberFormat="1" applyFont="1" applyFill="1" applyBorder="1" applyAlignment="1">
      <alignment horizontal="center" vertical="center" wrapText="1"/>
      <protection/>
    </xf>
    <xf numFmtId="173" fontId="1" fillId="0" borderId="12" xfId="18" applyNumberFormat="1" applyFont="1" applyFill="1" applyBorder="1" applyAlignment="1">
      <alignment horizontal="center" vertical="center" wrapText="1"/>
      <protection/>
    </xf>
    <xf numFmtId="173" fontId="13" fillId="0" borderId="17" xfId="18" applyNumberFormat="1" applyFont="1" applyFill="1" applyBorder="1" applyAlignment="1">
      <alignment horizontal="center" vertical="center" wrapText="1"/>
      <protection/>
    </xf>
    <xf numFmtId="173" fontId="0" fillId="0" borderId="14" xfId="18" applyNumberFormat="1" applyFont="1" applyFill="1" applyBorder="1" applyAlignment="1">
      <alignment horizontal="center" vertical="center" wrapText="1"/>
      <protection/>
    </xf>
    <xf numFmtId="173" fontId="0" fillId="0" borderId="15" xfId="18" applyNumberFormat="1" applyFont="1" applyFill="1" applyBorder="1" applyAlignment="1">
      <alignment horizontal="center" vertical="center" wrapText="1"/>
      <protection/>
    </xf>
    <xf numFmtId="0" fontId="1" fillId="0" borderId="17" xfId="18" applyFont="1" applyFill="1" applyBorder="1" applyAlignment="1">
      <alignment horizontal="center"/>
      <protection/>
    </xf>
    <xf numFmtId="0" fontId="0" fillId="0" borderId="14" xfId="18" applyFont="1" applyFill="1" applyBorder="1" applyAlignment="1">
      <alignment horizontal="center" wrapText="1"/>
      <protection/>
    </xf>
    <xf numFmtId="0" fontId="0" fillId="0" borderId="13" xfId="18" applyFont="1" applyFill="1" applyBorder="1" applyAlignment="1">
      <alignment horizontal="center" wrapText="1"/>
      <protection/>
    </xf>
    <xf numFmtId="173" fontId="0" fillId="0" borderId="13" xfId="18" applyNumberFormat="1" applyFont="1" applyFill="1" applyBorder="1" applyAlignment="1">
      <alignment horizontal="center" vertical="center" wrapText="1"/>
      <protection/>
    </xf>
    <xf numFmtId="173" fontId="1" fillId="0" borderId="2" xfId="18" applyNumberFormat="1" applyFont="1" applyFill="1" applyBorder="1" applyAlignment="1">
      <alignment horizontal="center" vertical="center" wrapText="1"/>
      <protection/>
    </xf>
    <xf numFmtId="173" fontId="1" fillId="0" borderId="11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Border="1" applyAlignment="1">
      <alignment horizontal="center"/>
      <protection/>
    </xf>
    <xf numFmtId="173" fontId="0" fillId="0" borderId="0" xfId="18" applyNumberFormat="1" applyFont="1" applyFill="1" applyBorder="1" applyAlignment="1">
      <alignment horizontal="center" vertical="center" wrapText="1"/>
      <protection/>
    </xf>
    <xf numFmtId="173" fontId="4" fillId="0" borderId="0" xfId="18" applyNumberFormat="1" applyFont="1" applyFill="1" applyBorder="1" applyAlignment="1">
      <alignment horizontal="center" vertical="center" wrapText="1"/>
      <protection/>
    </xf>
    <xf numFmtId="173" fontId="0" fillId="0" borderId="0" xfId="18" applyNumberFormat="1" applyFont="1" applyFill="1" applyBorder="1" applyAlignment="1">
      <alignment horizontal="center" vertical="center" wrapText="1"/>
      <protection/>
    </xf>
    <xf numFmtId="173" fontId="7" fillId="0" borderId="0" xfId="18" applyNumberFormat="1" applyFont="1" applyFill="1" applyBorder="1" applyAlignment="1">
      <alignment horizontal="center" vertical="center" wrapText="1"/>
      <protection/>
    </xf>
    <xf numFmtId="173" fontId="1" fillId="0" borderId="0" xfId="18" applyNumberFormat="1" applyFont="1" applyFill="1" applyBorder="1" applyAlignment="1">
      <alignment horizontal="center" vertical="center" wrapText="1"/>
      <protection/>
    </xf>
    <xf numFmtId="173" fontId="4" fillId="3" borderId="0" xfId="18" applyNumberFormat="1" applyFont="1" applyFill="1" applyBorder="1" applyAlignment="1">
      <alignment horizontal="center" vertical="center" wrapText="1"/>
      <protection/>
    </xf>
    <xf numFmtId="173" fontId="0" fillId="0" borderId="13" xfId="18" applyNumberFormat="1" applyFont="1" applyFill="1" applyBorder="1" applyAlignment="1">
      <alignment horizontal="center" vertical="center" wrapText="1"/>
      <protection/>
    </xf>
    <xf numFmtId="173" fontId="0" fillId="2" borderId="16" xfId="18" applyNumberFormat="1" applyFont="1" applyFill="1" applyBorder="1" applyAlignment="1">
      <alignment horizontal="center" vertical="center" wrapText="1"/>
      <protection/>
    </xf>
    <xf numFmtId="0" fontId="0" fillId="0" borderId="9" xfId="18" applyFont="1" applyFill="1" applyBorder="1" applyAlignment="1">
      <alignment horizontal="left" vertical="center" wrapText="1"/>
      <protection/>
    </xf>
    <xf numFmtId="0" fontId="0" fillId="0" borderId="0" xfId="18" applyFont="1" applyFill="1" applyAlignment="1">
      <alignment/>
      <protection/>
    </xf>
    <xf numFmtId="2" fontId="0" fillId="2" borderId="14" xfId="18" applyNumberFormat="1" applyFont="1" applyFill="1" applyBorder="1" applyAlignment="1">
      <alignment horizontal="center" vertical="center" wrapText="1"/>
      <protection/>
    </xf>
    <xf numFmtId="2" fontId="0" fillId="2" borderId="15" xfId="18" applyNumberFormat="1" applyFont="1" applyFill="1" applyBorder="1" applyAlignment="1">
      <alignment horizontal="center" vertical="center" wrapText="1"/>
      <protection/>
    </xf>
    <xf numFmtId="2" fontId="0" fillId="2" borderId="13" xfId="18" applyNumberFormat="1" applyFont="1" applyFill="1" applyBorder="1" applyAlignment="1">
      <alignment horizontal="center" vertical="center" wrapText="1"/>
      <protection/>
    </xf>
    <xf numFmtId="2" fontId="0" fillId="2" borderId="17" xfId="18" applyNumberFormat="1" applyFont="1" applyFill="1" applyBorder="1" applyAlignment="1">
      <alignment horizontal="center" vertical="center" wrapText="1"/>
      <protection/>
    </xf>
    <xf numFmtId="2" fontId="0" fillId="2" borderId="18" xfId="18" applyNumberFormat="1" applyFont="1" applyFill="1" applyBorder="1" applyAlignment="1">
      <alignment horizontal="center" vertical="center" wrapText="1"/>
      <protection/>
    </xf>
    <xf numFmtId="0" fontId="0" fillId="0" borderId="17" xfId="18" applyFont="1" applyFill="1" applyBorder="1" applyAlignment="1">
      <alignment horizontal="center" vertical="center" wrapText="1"/>
      <protection/>
    </xf>
    <xf numFmtId="2" fontId="0" fillId="2" borderId="16" xfId="18" applyNumberFormat="1" applyFont="1" applyFill="1" applyBorder="1" applyAlignment="1">
      <alignment horizontal="center" vertic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173" fontId="0" fillId="2" borderId="0" xfId="18" applyNumberFormat="1" applyFont="1" applyFill="1" applyBorder="1" applyAlignment="1">
      <alignment horizontal="center" vertical="center" wrapText="1"/>
      <protection/>
    </xf>
    <xf numFmtId="49" fontId="0" fillId="0" borderId="0" xfId="18" applyNumberFormat="1" applyFont="1" applyFill="1" applyBorder="1" applyAlignment="1">
      <alignment horizontal="right" vertical="top" wrapText="1"/>
      <protection/>
    </xf>
    <xf numFmtId="0" fontId="0" fillId="0" borderId="0" xfId="18" applyFont="1" applyFill="1" applyBorder="1" applyAlignment="1">
      <alignment horizontal="left" vertic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173" fontId="11" fillId="0" borderId="1" xfId="18" applyNumberFormat="1" applyFont="1" applyFill="1" applyBorder="1" applyAlignment="1">
      <alignment horizontal="center" vertical="center" wrapText="1"/>
      <protection/>
    </xf>
    <xf numFmtId="2" fontId="11" fillId="0" borderId="2" xfId="18" applyNumberFormat="1" applyFont="1" applyFill="1" applyBorder="1" applyAlignment="1">
      <alignment horizontal="center" vertical="center" wrapText="1"/>
      <protection/>
    </xf>
    <xf numFmtId="2" fontId="0" fillId="0" borderId="1" xfId="18" applyNumberFormat="1" applyFont="1" applyFill="1" applyBorder="1" applyAlignment="1">
      <alignment horizontal="center" vertical="center" wrapText="1"/>
      <protection/>
    </xf>
    <xf numFmtId="173" fontId="11" fillId="0" borderId="1" xfId="18" applyNumberFormat="1" applyFont="1" applyFill="1" applyBorder="1" applyAlignment="1">
      <alignment horizontal="center" vertical="center" wrapText="1"/>
      <protection/>
    </xf>
    <xf numFmtId="2" fontId="11" fillId="0" borderId="2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Alignment="1">
      <alignment horizontal="center"/>
      <protection/>
    </xf>
    <xf numFmtId="0" fontId="0" fillId="0" borderId="0" xfId="18" applyFont="1" applyFill="1" applyBorder="1" applyAlignment="1">
      <alignment horizontal="right" vertical="top" wrapText="1"/>
      <protection/>
    </xf>
    <xf numFmtId="2" fontId="0" fillId="0" borderId="13" xfId="18" applyNumberFormat="1" applyFont="1" applyFill="1" applyBorder="1" applyAlignment="1">
      <alignment horizontal="center" vertical="center" wrapText="1"/>
      <protection/>
    </xf>
    <xf numFmtId="2" fontId="0" fillId="0" borderId="13" xfId="18" applyNumberFormat="1" applyFont="1" applyFill="1" applyBorder="1" applyAlignment="1">
      <alignment horizontal="center" vertical="center" wrapText="1"/>
      <protection/>
    </xf>
    <xf numFmtId="2" fontId="0" fillId="0" borderId="16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Fill="1" applyBorder="1" applyAlignment="1">
      <alignment vertical="center" wrapText="1"/>
      <protection/>
    </xf>
    <xf numFmtId="2" fontId="0" fillId="2" borderId="0" xfId="18" applyNumberFormat="1" applyFont="1" applyFill="1" applyBorder="1" applyAlignment="1">
      <alignment vertical="center" wrapText="1"/>
      <protection/>
    </xf>
    <xf numFmtId="0" fontId="5" fillId="0" borderId="0" xfId="18" applyFont="1" applyFill="1" applyBorder="1">
      <alignment/>
      <protection/>
    </xf>
    <xf numFmtId="2" fontId="10" fillId="0" borderId="0" xfId="18" applyNumberFormat="1" applyFont="1" applyFill="1" applyBorder="1" applyAlignment="1">
      <alignment horizontal="center" vertical="center" wrapText="1"/>
      <protection/>
    </xf>
    <xf numFmtId="2" fontId="0" fillId="0" borderId="0" xfId="18" applyNumberFormat="1" applyFont="1" applyFill="1" applyBorder="1" applyAlignment="1">
      <alignment horizontal="center" vertical="center" wrapText="1"/>
      <protection/>
    </xf>
    <xf numFmtId="173" fontId="11" fillId="0" borderId="0" xfId="18" applyNumberFormat="1" applyFont="1" applyFill="1" applyBorder="1" applyAlignment="1">
      <alignment horizontal="center" vertical="center" wrapText="1"/>
      <protection/>
    </xf>
    <xf numFmtId="2" fontId="11" fillId="0" borderId="0" xfId="18" applyNumberFormat="1" applyFont="1" applyFill="1" applyBorder="1" applyAlignment="1">
      <alignment horizontal="center" vertical="center" wrapText="1"/>
      <protection/>
    </xf>
    <xf numFmtId="2" fontId="0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18" applyNumberFormat="1" applyFont="1" applyFill="1" applyBorder="1" applyAlignment="1">
      <alignment horizontal="center" vertical="center" wrapText="1"/>
      <protection/>
    </xf>
    <xf numFmtId="0" fontId="1" fillId="0" borderId="0" xfId="18" applyFont="1" applyFill="1" applyBorder="1" applyAlignment="1">
      <alignment horizontal="center" vertical="center" wrapText="1"/>
      <protection/>
    </xf>
    <xf numFmtId="0" fontId="13" fillId="0" borderId="0" xfId="18" applyFont="1" applyFill="1" applyBorder="1" applyAlignment="1">
      <alignment horizontal="center" vertical="center" wrapText="1"/>
      <protection/>
    </xf>
    <xf numFmtId="2" fontId="0" fillId="2" borderId="0" xfId="18" applyNumberFormat="1" applyFont="1" applyFill="1" applyBorder="1" applyAlignment="1">
      <alignment horizontal="center" vertical="center" wrapText="1"/>
      <protection/>
    </xf>
    <xf numFmtId="2" fontId="10" fillId="0" borderId="0" xfId="18" applyNumberFormat="1" applyFont="1" applyFill="1" applyBorder="1" applyAlignment="1">
      <alignment horizontal="center" vertical="center" wrapText="1"/>
      <protection/>
    </xf>
    <xf numFmtId="173" fontId="11" fillId="0" borderId="0" xfId="18" applyNumberFormat="1" applyFont="1" applyFill="1" applyBorder="1" applyAlignment="1">
      <alignment horizontal="center" vertical="center" wrapText="1"/>
      <protection/>
    </xf>
    <xf numFmtId="2" fontId="11" fillId="0" borderId="0" xfId="18" applyNumberFormat="1" applyFont="1" applyFill="1" applyBorder="1" applyAlignment="1">
      <alignment horizontal="center" vertical="center" wrapText="1"/>
      <protection/>
    </xf>
    <xf numFmtId="2" fontId="4" fillId="0" borderId="0" xfId="18" applyNumberFormat="1" applyFont="1" applyFill="1" applyBorder="1" applyAlignment="1">
      <alignment horizontal="center" vertical="center" wrapText="1"/>
      <protection/>
    </xf>
    <xf numFmtId="2" fontId="13" fillId="0" borderId="0" xfId="18" applyNumberFormat="1" applyFont="1" applyFill="1" applyBorder="1" applyAlignment="1">
      <alignment horizontal="center" vertical="center" wrapText="1"/>
      <protection/>
    </xf>
    <xf numFmtId="173" fontId="11" fillId="2" borderId="0" xfId="18" applyNumberFormat="1" applyFont="1" applyFill="1" applyBorder="1" applyAlignment="1">
      <alignment horizontal="center" vertical="center" wrapText="1"/>
      <protection/>
    </xf>
    <xf numFmtId="2" fontId="11" fillId="2" borderId="0" xfId="18" applyNumberFormat="1" applyFont="1" applyFill="1" applyBorder="1" applyAlignment="1">
      <alignment horizontal="center" vertical="center" wrapText="1"/>
      <protection/>
    </xf>
    <xf numFmtId="0" fontId="0" fillId="2" borderId="19" xfId="18" applyFont="1" applyFill="1" applyBorder="1" applyAlignment="1">
      <alignment horizontal="center" wrapText="1"/>
      <protection/>
    </xf>
    <xf numFmtId="2" fontId="4" fillId="0" borderId="17" xfId="18" applyNumberFormat="1" applyFont="1" applyFill="1" applyBorder="1" applyAlignment="1">
      <alignment horizontal="center" vertical="center" wrapText="1"/>
      <protection/>
    </xf>
    <xf numFmtId="2" fontId="4" fillId="0" borderId="17" xfId="18" applyNumberFormat="1" applyFont="1" applyFill="1" applyBorder="1" applyAlignment="1">
      <alignment horizontal="center" vertical="center" wrapText="1"/>
      <protection/>
    </xf>
    <xf numFmtId="2" fontId="0" fillId="0" borderId="17" xfId="18" applyNumberFormat="1" applyFont="1" applyFill="1" applyBorder="1" applyAlignment="1">
      <alignment horizontal="center" vertical="center" wrapText="1"/>
      <protection/>
    </xf>
    <xf numFmtId="2" fontId="4" fillId="2" borderId="17" xfId="18" applyNumberFormat="1" applyFont="1" applyFill="1" applyBorder="1" applyAlignment="1">
      <alignment horizontal="center" vertical="center" wrapText="1"/>
      <protection/>
    </xf>
    <xf numFmtId="2" fontId="0" fillId="2" borderId="17" xfId="18" applyNumberFormat="1" applyFont="1" applyFill="1" applyBorder="1" applyAlignment="1">
      <alignment horizontal="center" vertical="center" wrapText="1"/>
      <protection/>
    </xf>
    <xf numFmtId="2" fontId="4" fillId="2" borderId="18" xfId="18" applyNumberFormat="1" applyFont="1" applyFill="1" applyBorder="1" applyAlignment="1">
      <alignment horizontal="center" vertical="center" wrapText="1"/>
      <protection/>
    </xf>
    <xf numFmtId="0" fontId="0" fillId="2" borderId="14" xfId="18" applyFont="1" applyFill="1" applyBorder="1" applyAlignment="1">
      <alignment horizontal="center" wrapText="1"/>
      <protection/>
    </xf>
    <xf numFmtId="2" fontId="0" fillId="2" borderId="14" xfId="18" applyNumberFormat="1" applyFont="1" applyFill="1" applyBorder="1" applyAlignment="1">
      <alignment horizontal="center" vertical="center" wrapText="1"/>
      <protection/>
    </xf>
    <xf numFmtId="2" fontId="0" fillId="2" borderId="15" xfId="18" applyNumberFormat="1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0" fontId="1" fillId="0" borderId="3" xfId="18" applyFont="1" applyFill="1" applyBorder="1" applyAlignment="1">
      <alignment horizontal="center" vertical="center" wrapText="1"/>
      <protection/>
    </xf>
    <xf numFmtId="2" fontId="0" fillId="2" borderId="14" xfId="18" applyNumberFormat="1" applyFont="1" applyFill="1" applyBorder="1" applyAlignment="1">
      <alignment horizontal="center" vertical="center" wrapText="1"/>
      <protection/>
    </xf>
    <xf numFmtId="172" fontId="13" fillId="0" borderId="2" xfId="18" applyNumberFormat="1" applyFont="1" applyFill="1" applyBorder="1" applyAlignment="1">
      <alignment horizontal="center" vertical="center" wrapText="1"/>
      <protection/>
    </xf>
    <xf numFmtId="172" fontId="4" fillId="2" borderId="2" xfId="18" applyNumberFormat="1" applyFont="1" applyFill="1" applyBorder="1" applyAlignment="1">
      <alignment horizontal="center" vertical="center" wrapText="1"/>
      <protection/>
    </xf>
    <xf numFmtId="172" fontId="4" fillId="2" borderId="2" xfId="18" applyNumberFormat="1" applyFont="1" applyFill="1" applyBorder="1" applyAlignment="1">
      <alignment horizontal="center" vertical="center" wrapText="1"/>
      <protection/>
    </xf>
    <xf numFmtId="0" fontId="1" fillId="0" borderId="14" xfId="18" applyFont="1" applyFill="1" applyBorder="1" applyAlignment="1">
      <alignment horizontal="center"/>
      <protection/>
    </xf>
    <xf numFmtId="0" fontId="3" fillId="0" borderId="13" xfId="18" applyFont="1" applyFill="1" applyBorder="1" applyAlignment="1">
      <alignment horizontal="center" vertical="center" wrapText="1"/>
      <protection/>
    </xf>
    <xf numFmtId="173" fontId="0" fillId="0" borderId="13" xfId="18" applyNumberFormat="1" applyFont="1" applyFill="1" applyBorder="1" applyAlignment="1">
      <alignment horizontal="center" vertical="center" wrapText="1"/>
      <protection/>
    </xf>
    <xf numFmtId="0" fontId="9" fillId="2" borderId="1" xfId="18" applyFont="1" applyFill="1" applyBorder="1" applyAlignment="1">
      <alignment horizontal="center" wrapText="1"/>
      <protection/>
    </xf>
    <xf numFmtId="173" fontId="4" fillId="0" borderId="17" xfId="18" applyNumberFormat="1" applyFont="1" applyFill="1" applyBorder="1" applyAlignment="1">
      <alignment horizontal="center" vertical="center" wrapText="1"/>
      <protection/>
    </xf>
    <xf numFmtId="0" fontId="0" fillId="0" borderId="14" xfId="18" applyFont="1" applyFill="1" applyBorder="1" applyAlignment="1">
      <alignment horizontal="center" vertical="center" wrapText="1"/>
      <protection/>
    </xf>
    <xf numFmtId="0" fontId="0" fillId="0" borderId="2" xfId="18" applyFont="1" applyFill="1" applyBorder="1" applyAlignment="1">
      <alignment horizontal="center" vertical="center" wrapText="1"/>
      <protection/>
    </xf>
    <xf numFmtId="0" fontId="0" fillId="2" borderId="20" xfId="18" applyFont="1" applyFill="1" applyBorder="1" applyAlignment="1">
      <alignment horizontal="center" vertical="center" wrapText="1"/>
      <protection/>
    </xf>
    <xf numFmtId="0" fontId="0" fillId="2" borderId="13" xfId="18" applyFont="1" applyFill="1" applyBorder="1" applyAlignment="1">
      <alignment horizontal="center" vertical="center" wrapText="1"/>
      <protection/>
    </xf>
    <xf numFmtId="0" fontId="1" fillId="0" borderId="20" xfId="18" applyFont="1" applyFill="1" applyBorder="1" applyAlignment="1">
      <alignment horizontal="center" vertical="center"/>
      <protection/>
    </xf>
    <xf numFmtId="0" fontId="1" fillId="0" borderId="21" xfId="18" applyFont="1" applyFill="1" applyBorder="1" applyAlignment="1">
      <alignment horizontal="center" vertical="center"/>
      <protection/>
    </xf>
    <xf numFmtId="0" fontId="1" fillId="0" borderId="22" xfId="18" applyFont="1" applyFill="1" applyBorder="1" applyAlignment="1">
      <alignment horizontal="center" vertical="center"/>
      <protection/>
    </xf>
    <xf numFmtId="0" fontId="1" fillId="0" borderId="13" xfId="18" applyFont="1" applyFill="1" applyBorder="1" applyAlignment="1">
      <alignment horizontal="center" vertical="center"/>
      <protection/>
    </xf>
    <xf numFmtId="0" fontId="0" fillId="0" borderId="6" xfId="18" applyFont="1" applyFill="1" applyBorder="1" applyAlignment="1">
      <alignment horizontal="left" wrapText="1"/>
      <protection/>
    </xf>
    <xf numFmtId="0" fontId="0" fillId="0" borderId="23" xfId="18" applyFont="1" applyFill="1" applyBorder="1" applyAlignment="1">
      <alignment horizontal="center" vertical="center" wrapText="1"/>
      <protection/>
    </xf>
    <xf numFmtId="0" fontId="0" fillId="0" borderId="22" xfId="18" applyFont="1" applyFill="1" applyBorder="1" applyAlignment="1">
      <alignment horizontal="center" vertical="center" wrapText="1"/>
      <protection/>
    </xf>
    <xf numFmtId="0" fontId="0" fillId="2" borderId="21" xfId="18" applyFont="1" applyFill="1" applyBorder="1" applyAlignment="1">
      <alignment horizontal="center" vertical="center" wrapText="1"/>
      <protection/>
    </xf>
    <xf numFmtId="0" fontId="0" fillId="2" borderId="22" xfId="18" applyFont="1" applyFill="1" applyBorder="1" applyAlignment="1">
      <alignment horizontal="center" vertical="center" wrapText="1"/>
      <protection/>
    </xf>
    <xf numFmtId="0" fontId="0" fillId="2" borderId="14" xfId="18" applyFont="1" applyFill="1" applyBorder="1" applyAlignment="1">
      <alignment horizontal="center" vertical="center" wrapText="1"/>
      <protection/>
    </xf>
    <xf numFmtId="0" fontId="0" fillId="2" borderId="1" xfId="18" applyFont="1" applyFill="1" applyBorder="1" applyAlignment="1">
      <alignment horizontal="center" vertical="center" wrapText="1"/>
      <protection/>
    </xf>
    <xf numFmtId="0" fontId="0" fillId="2" borderId="2" xfId="18" applyFont="1" applyFill="1" applyBorder="1" applyAlignment="1">
      <alignment horizontal="center" vertical="center" wrapText="1"/>
      <protection/>
    </xf>
    <xf numFmtId="0" fontId="0" fillId="0" borderId="5" xfId="18" applyFont="1" applyFill="1" applyBorder="1" applyAlignment="1">
      <alignment horizontal="left" wrapText="1"/>
      <protection/>
    </xf>
    <xf numFmtId="49" fontId="2" fillId="0" borderId="0" xfId="18" applyNumberFormat="1" applyFont="1" applyFill="1" applyAlignment="1">
      <alignment horizontal="center" vertical="center" wrapText="1"/>
      <protection/>
    </xf>
    <xf numFmtId="0" fontId="1" fillId="0" borderId="0" xfId="18" applyFont="1" applyFill="1" applyBorder="1" applyAlignment="1">
      <alignment horizontal="center" vertical="center"/>
      <protection/>
    </xf>
    <xf numFmtId="0" fontId="0" fillId="0" borderId="0" xfId="18" applyFont="1" applyFill="1" applyBorder="1" applyAlignment="1">
      <alignment horizontal="left" wrapText="1"/>
      <protection/>
    </xf>
    <xf numFmtId="0" fontId="0" fillId="0" borderId="4" xfId="18" applyFont="1" applyFill="1" applyBorder="1" applyAlignment="1">
      <alignment horizontal="center" vertical="center" wrapText="1"/>
      <protection/>
    </xf>
    <xf numFmtId="0" fontId="0" fillId="0" borderId="24" xfId="18" applyFont="1" applyFill="1" applyBorder="1" applyAlignment="1">
      <alignment horizontal="center" vertical="center" wrapText="1"/>
      <protection/>
    </xf>
    <xf numFmtId="0" fontId="0" fillId="0" borderId="25" xfId="18" applyFont="1" applyFill="1" applyBorder="1" applyAlignment="1">
      <alignment horizontal="center" vertical="center" wrapText="1"/>
      <protection/>
    </xf>
    <xf numFmtId="0" fontId="0" fillId="0" borderId="5" xfId="18" applyFont="1" applyFill="1" applyBorder="1" applyAlignment="1">
      <alignment horizontal="center" vertical="center" wrapText="1"/>
      <protection/>
    </xf>
    <xf numFmtId="0" fontId="0" fillId="0" borderId="26" xfId="18" applyFont="1" applyFill="1" applyBorder="1" applyAlignment="1">
      <alignment horizontal="center" vertical="center" wrapText="1"/>
      <protection/>
    </xf>
    <xf numFmtId="0" fontId="0" fillId="0" borderId="27" xfId="18" applyFont="1" applyFill="1" applyBorder="1" applyAlignment="1">
      <alignment horizontal="center" vertical="center" wrapText="1"/>
      <protection/>
    </xf>
    <xf numFmtId="0" fontId="0" fillId="0" borderId="0" xfId="18" applyFont="1" applyFill="1" applyBorder="1" applyAlignment="1">
      <alignment horizontal="center" vertical="center" wrapText="1"/>
      <protection/>
    </xf>
    <xf numFmtId="0" fontId="0" fillId="2" borderId="0" xfId="18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horizontal="center"/>
      <protection/>
    </xf>
    <xf numFmtId="0" fontId="0" fillId="0" borderId="20" xfId="18" applyFont="1" applyFill="1" applyBorder="1" applyAlignment="1">
      <alignment horizontal="center" vertical="center" wrapText="1"/>
      <protection/>
    </xf>
    <xf numFmtId="0" fontId="0" fillId="0" borderId="21" xfId="18" applyFont="1" applyFill="1" applyBorder="1" applyAlignment="1">
      <alignment horizontal="center" vertical="center" wrapText="1"/>
      <protection/>
    </xf>
    <xf numFmtId="0" fontId="0" fillId="0" borderId="28" xfId="18" applyFont="1" applyFill="1" applyBorder="1" applyAlignment="1">
      <alignment horizontal="center" vertical="center" wrapText="1"/>
      <protection/>
    </xf>
    <xf numFmtId="0" fontId="0" fillId="0" borderId="13" xfId="18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0" fontId="0" fillId="0" borderId="17" xfId="18" applyFont="1" applyFill="1" applyBorder="1" applyAlignment="1">
      <alignment horizontal="center" vertical="center" wrapText="1"/>
      <protection/>
    </xf>
    <xf numFmtId="0" fontId="0" fillId="2" borderId="23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/>
      <protection/>
    </xf>
    <xf numFmtId="0" fontId="1" fillId="0" borderId="2" xfId="18" applyFont="1" applyFill="1" applyBorder="1" applyAlignment="1">
      <alignment horizontal="center" vertical="center"/>
      <protection/>
    </xf>
    <xf numFmtId="0" fontId="0" fillId="2" borderId="4" xfId="18" applyFont="1" applyFill="1" applyBorder="1" applyAlignment="1">
      <alignment horizontal="center" vertical="center" wrapText="1"/>
      <protection/>
    </xf>
    <xf numFmtId="0" fontId="0" fillId="2" borderId="24" xfId="18" applyFont="1" applyFill="1" applyBorder="1" applyAlignment="1">
      <alignment horizontal="center" vertical="center" wrapText="1"/>
      <protection/>
    </xf>
    <xf numFmtId="0" fontId="0" fillId="2" borderId="25" xfId="18" applyFont="1" applyFill="1" applyBorder="1" applyAlignment="1">
      <alignment horizontal="center" vertical="center" wrapText="1"/>
      <protection/>
    </xf>
    <xf numFmtId="0" fontId="0" fillId="2" borderId="5" xfId="18" applyFont="1" applyFill="1" applyBorder="1" applyAlignment="1">
      <alignment horizontal="center" vertical="center" wrapText="1"/>
      <protection/>
    </xf>
    <xf numFmtId="0" fontId="0" fillId="2" borderId="26" xfId="18" applyFont="1" applyFill="1" applyBorder="1" applyAlignment="1">
      <alignment horizontal="center" vertical="center" wrapText="1"/>
      <protection/>
    </xf>
    <xf numFmtId="0" fontId="0" fillId="2" borderId="27" xfId="18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horizontal="right"/>
      <protection/>
    </xf>
    <xf numFmtId="0" fontId="2" fillId="0" borderId="0" xfId="18" applyFont="1" applyFill="1" applyAlignment="1">
      <alignment horizontal="center" vertical="center" wrapText="1"/>
      <protection/>
    </xf>
    <xf numFmtId="0" fontId="1" fillId="0" borderId="4" xfId="18" applyFont="1" applyFill="1" applyBorder="1" applyAlignment="1">
      <alignment horizontal="center" vertical="center" wrapText="1"/>
      <protection/>
    </xf>
    <xf numFmtId="0" fontId="1" fillId="0" borderId="24" xfId="18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" fillId="0" borderId="5" xfId="18" applyFont="1" applyFill="1" applyBorder="1" applyAlignment="1">
      <alignment horizontal="center" vertical="center" wrapText="1"/>
      <protection/>
    </xf>
    <xf numFmtId="0" fontId="1" fillId="0" borderId="26" xfId="18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49" fontId="1" fillId="0" borderId="4" xfId="18" applyNumberFormat="1" applyFont="1" applyFill="1" applyBorder="1" applyAlignment="1">
      <alignment horizontal="center" vertical="center" wrapText="1"/>
      <protection/>
    </xf>
    <xf numFmtId="49" fontId="1" fillId="0" borderId="24" xfId="18" applyNumberFormat="1" applyFont="1" applyFill="1" applyBorder="1" applyAlignment="1">
      <alignment horizontal="center" vertical="center" wrapText="1"/>
      <protection/>
    </xf>
    <xf numFmtId="49" fontId="1" fillId="0" borderId="29" xfId="18" applyNumberFormat="1" applyFont="1" applyFill="1" applyBorder="1" applyAlignment="1">
      <alignment horizontal="center" vertical="center" wrapText="1"/>
      <protection/>
    </xf>
    <xf numFmtId="49" fontId="1" fillId="0" borderId="0" xfId="18" applyNumberFormat="1" applyFont="1" applyFill="1" applyBorder="1" applyAlignment="1">
      <alignment horizontal="center" vertical="center" wrapText="1"/>
      <protection/>
    </xf>
    <xf numFmtId="0" fontId="0" fillId="0" borderId="30" xfId="18" applyFont="1" applyFill="1" applyBorder="1" applyAlignment="1">
      <alignment horizontal="left" wrapText="1"/>
      <protection/>
    </xf>
    <xf numFmtId="0" fontId="0" fillId="0" borderId="9" xfId="18" applyFont="1" applyFill="1" applyBorder="1" applyAlignment="1">
      <alignment horizontal="left" wrapText="1"/>
      <protection/>
    </xf>
    <xf numFmtId="0" fontId="0" fillId="0" borderId="4" xfId="18" applyFont="1" applyFill="1" applyBorder="1" applyAlignment="1">
      <alignment horizontal="center" vertical="top" wrapText="1"/>
      <protection/>
    </xf>
    <xf numFmtId="0" fontId="0" fillId="0" borderId="24" xfId="18" applyFont="1" applyFill="1" applyBorder="1" applyAlignment="1">
      <alignment horizontal="center" vertical="top" wrapText="1"/>
      <protection/>
    </xf>
    <xf numFmtId="0" fontId="0" fillId="0" borderId="25" xfId="18" applyFont="1" applyFill="1" applyBorder="1" applyAlignment="1">
      <alignment horizontal="center" vertical="top" wrapText="1"/>
      <protection/>
    </xf>
    <xf numFmtId="0" fontId="0" fillId="0" borderId="5" xfId="18" applyFont="1" applyFill="1" applyBorder="1" applyAlignment="1">
      <alignment horizontal="center" vertical="top" wrapText="1"/>
      <protection/>
    </xf>
    <xf numFmtId="0" fontId="0" fillId="0" borderId="26" xfId="18" applyFont="1" applyFill="1" applyBorder="1" applyAlignment="1">
      <alignment horizontal="center" vertical="top" wrapText="1"/>
      <protection/>
    </xf>
    <xf numFmtId="0" fontId="0" fillId="0" borderId="27" xfId="18" applyFont="1" applyFill="1" applyBorder="1" applyAlignment="1">
      <alignment horizontal="center" vertical="top" wrapText="1"/>
      <protection/>
    </xf>
    <xf numFmtId="0" fontId="1" fillId="0" borderId="0" xfId="18" applyFont="1" applyFill="1" applyAlignment="1">
      <alignment horizontal="right"/>
      <protection/>
    </xf>
    <xf numFmtId="49" fontId="1" fillId="0" borderId="25" xfId="18" applyNumberFormat="1" applyFont="1" applyFill="1" applyBorder="1" applyAlignment="1">
      <alignment horizontal="center" vertical="center" wrapText="1"/>
      <protection/>
    </xf>
    <xf numFmtId="49" fontId="1" fillId="0" borderId="31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Fill="1" applyBorder="1" applyAlignment="1">
      <alignment vertical="center" wrapText="1"/>
      <protection/>
    </xf>
    <xf numFmtId="0" fontId="0" fillId="0" borderId="0" xfId="18" applyFont="1" applyFill="1" applyBorder="1" applyAlignment="1">
      <alignment horizontal="right" wrapText="1"/>
      <protection/>
    </xf>
    <xf numFmtId="0" fontId="3" fillId="0" borderId="0" xfId="18" applyFont="1" applyFill="1" applyBorder="1" applyAlignment="1">
      <alignment horizontal="left" vertical="center" wrapText="1"/>
      <protection/>
    </xf>
    <xf numFmtId="0" fontId="0" fillId="0" borderId="32" xfId="18" applyFont="1" applyFill="1" applyBorder="1" applyAlignment="1">
      <alignment horizontal="center" vertical="center" wrapText="1"/>
      <protection/>
    </xf>
    <xf numFmtId="0" fontId="0" fillId="0" borderId="33" xfId="18" applyFont="1" applyFill="1" applyBorder="1" applyAlignment="1">
      <alignment horizontal="center" vertical="center" wrapText="1"/>
      <protection/>
    </xf>
    <xf numFmtId="0" fontId="0" fillId="0" borderId="34" xfId="18" applyFont="1" applyFill="1" applyBorder="1" applyAlignment="1">
      <alignment horizontal="center" vertical="center" wrapText="1"/>
      <protection/>
    </xf>
    <xf numFmtId="0" fontId="0" fillId="2" borderId="32" xfId="18" applyFont="1" applyFill="1" applyBorder="1" applyAlignment="1">
      <alignment horizontal="center" vertical="center" wrapText="1"/>
      <protection/>
    </xf>
    <xf numFmtId="0" fontId="0" fillId="2" borderId="33" xfId="18" applyFont="1" applyFill="1" applyBorder="1" applyAlignment="1">
      <alignment horizontal="center" vertical="center" wrapText="1"/>
      <protection/>
    </xf>
    <xf numFmtId="0" fontId="0" fillId="2" borderId="34" xfId="18" applyFont="1" applyFill="1" applyBorder="1" applyAlignment="1">
      <alignment horizontal="center" vertical="center" wrapText="1"/>
      <protection/>
    </xf>
    <xf numFmtId="0" fontId="8" fillId="0" borderId="0" xfId="18" applyFont="1" applyFill="1" applyBorder="1" applyAlignment="1">
      <alignment horizontal="center" wrapText="1"/>
      <protection/>
    </xf>
    <xf numFmtId="0" fontId="12" fillId="0" borderId="0" xfId="18" applyFont="1" applyFill="1" applyBorder="1" applyAlignment="1">
      <alignment horizontal="left" wrapText="1"/>
      <protection/>
    </xf>
    <xf numFmtId="0" fontId="6" fillId="0" borderId="0" xfId="18" applyFont="1" applyAlignment="1">
      <alignment horizontal="center" vertical="top" wrapText="1"/>
      <protection/>
    </xf>
    <xf numFmtId="0" fontId="0" fillId="2" borderId="1" xfId="18" applyFont="1" applyFill="1" applyBorder="1" applyAlignment="1">
      <alignment horizontal="center" vertical="center" wrapText="1"/>
      <protection/>
    </xf>
    <xf numFmtId="173" fontId="0" fillId="2" borderId="1" xfId="1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1" xfId="18" applyFont="1" applyFill="1" applyBorder="1" applyAlignment="1">
      <alignment horizontal="left" vertical="center" wrapText="1"/>
      <protection/>
    </xf>
    <xf numFmtId="173" fontId="0" fillId="0" borderId="1" xfId="18" applyNumberFormat="1" applyFont="1" applyFill="1" applyBorder="1" applyAlignment="1">
      <alignment horizontal="center" vertical="center" wrapText="1"/>
      <protection/>
    </xf>
    <xf numFmtId="2" fontId="0" fillId="2" borderId="1" xfId="18" applyNumberFormat="1" applyFont="1" applyFill="1" applyBorder="1" applyAlignment="1">
      <alignment horizontal="center" vertical="center" wrapText="1"/>
      <protection/>
    </xf>
    <xf numFmtId="0" fontId="0" fillId="0" borderId="1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таблиц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49244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9525" y="49244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9525" y="1428750"/>
          <a:ext cx="8382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>
          <a:off x="9525" y="52578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5" name="Line 11"/>
        <xdr:cNvSpPr>
          <a:spLocks/>
        </xdr:cNvSpPr>
      </xdr:nvSpPr>
      <xdr:spPr>
        <a:xfrm>
          <a:off x="9525" y="49244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0</xdr:rowOff>
    </xdr:from>
    <xdr:to>
      <xdr:col>0</xdr:col>
      <xdr:colOff>704850</xdr:colOff>
      <xdr:row>17</xdr:row>
      <xdr:rowOff>0</xdr:rowOff>
    </xdr:to>
    <xdr:sp>
      <xdr:nvSpPr>
        <xdr:cNvPr id="6" name="Line 12"/>
        <xdr:cNvSpPr>
          <a:spLocks/>
        </xdr:cNvSpPr>
      </xdr:nvSpPr>
      <xdr:spPr>
        <a:xfrm>
          <a:off x="9525" y="49244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9</xdr:row>
      <xdr:rowOff>0</xdr:rowOff>
    </xdr:to>
    <xdr:sp>
      <xdr:nvSpPr>
        <xdr:cNvPr id="7" name="Line 13"/>
        <xdr:cNvSpPr>
          <a:spLocks/>
        </xdr:cNvSpPr>
      </xdr:nvSpPr>
      <xdr:spPr>
        <a:xfrm>
          <a:off x="9525" y="1428750"/>
          <a:ext cx="8382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8" name="Line 14"/>
        <xdr:cNvSpPr>
          <a:spLocks/>
        </xdr:cNvSpPr>
      </xdr:nvSpPr>
      <xdr:spPr>
        <a:xfrm>
          <a:off x="9525" y="52578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0</xdr:col>
      <xdr:colOff>704850</xdr:colOff>
      <xdr:row>35</xdr:row>
      <xdr:rowOff>0</xdr:rowOff>
    </xdr:to>
    <xdr:sp>
      <xdr:nvSpPr>
        <xdr:cNvPr id="9" name="Line 15"/>
        <xdr:cNvSpPr>
          <a:spLocks/>
        </xdr:cNvSpPr>
      </xdr:nvSpPr>
      <xdr:spPr>
        <a:xfrm>
          <a:off x="9525" y="8963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0</xdr:col>
      <xdr:colOff>704850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>
          <a:off x="9525" y="8963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0</xdr:colOff>
      <xdr:row>27</xdr:row>
      <xdr:rowOff>0</xdr:rowOff>
    </xdr:to>
    <xdr:sp>
      <xdr:nvSpPr>
        <xdr:cNvPr id="11" name="Line 17"/>
        <xdr:cNvSpPr>
          <a:spLocks/>
        </xdr:cNvSpPr>
      </xdr:nvSpPr>
      <xdr:spPr>
        <a:xfrm>
          <a:off x="9525" y="5905500"/>
          <a:ext cx="8382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0</xdr:col>
      <xdr:colOff>704850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>
          <a:off x="9525" y="8963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0</xdr:rowOff>
    </xdr:from>
    <xdr:to>
      <xdr:col>0</xdr:col>
      <xdr:colOff>704850</xdr:colOff>
      <xdr:row>35</xdr:row>
      <xdr:rowOff>0</xdr:rowOff>
    </xdr:to>
    <xdr:sp>
      <xdr:nvSpPr>
        <xdr:cNvPr id="13" name="Line 19"/>
        <xdr:cNvSpPr>
          <a:spLocks/>
        </xdr:cNvSpPr>
      </xdr:nvSpPr>
      <xdr:spPr>
        <a:xfrm>
          <a:off x="9525" y="89630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1</xdr:col>
      <xdr:colOff>0</xdr:colOff>
      <xdr:row>27</xdr:row>
      <xdr:rowOff>0</xdr:rowOff>
    </xdr:to>
    <xdr:sp>
      <xdr:nvSpPr>
        <xdr:cNvPr id="14" name="Line 20"/>
        <xdr:cNvSpPr>
          <a:spLocks/>
        </xdr:cNvSpPr>
      </xdr:nvSpPr>
      <xdr:spPr>
        <a:xfrm>
          <a:off x="9525" y="5905500"/>
          <a:ext cx="8382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704850</xdr:colOff>
      <xdr:row>33</xdr:row>
      <xdr:rowOff>0</xdr:rowOff>
    </xdr:to>
    <xdr:sp>
      <xdr:nvSpPr>
        <xdr:cNvPr id="15" name="Line 21"/>
        <xdr:cNvSpPr>
          <a:spLocks/>
        </xdr:cNvSpPr>
      </xdr:nvSpPr>
      <xdr:spPr>
        <a:xfrm>
          <a:off x="857250" y="8372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704850</xdr:colOff>
      <xdr:row>33</xdr:row>
      <xdr:rowOff>0</xdr:rowOff>
    </xdr:to>
    <xdr:sp>
      <xdr:nvSpPr>
        <xdr:cNvPr id="16" name="Line 22"/>
        <xdr:cNvSpPr>
          <a:spLocks/>
        </xdr:cNvSpPr>
      </xdr:nvSpPr>
      <xdr:spPr>
        <a:xfrm>
          <a:off x="857250" y="8372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17" name="Line 23"/>
        <xdr:cNvSpPr>
          <a:spLocks/>
        </xdr:cNvSpPr>
      </xdr:nvSpPr>
      <xdr:spPr>
        <a:xfrm>
          <a:off x="857250" y="5581650"/>
          <a:ext cx="704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704850</xdr:colOff>
      <xdr:row>33</xdr:row>
      <xdr:rowOff>0</xdr:rowOff>
    </xdr:to>
    <xdr:sp>
      <xdr:nvSpPr>
        <xdr:cNvPr id="18" name="Line 24"/>
        <xdr:cNvSpPr>
          <a:spLocks/>
        </xdr:cNvSpPr>
      </xdr:nvSpPr>
      <xdr:spPr>
        <a:xfrm>
          <a:off x="857250" y="8372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0</xdr:rowOff>
    </xdr:from>
    <xdr:to>
      <xdr:col>1</xdr:col>
      <xdr:colOff>704850</xdr:colOff>
      <xdr:row>33</xdr:row>
      <xdr:rowOff>0</xdr:rowOff>
    </xdr:to>
    <xdr:sp>
      <xdr:nvSpPr>
        <xdr:cNvPr id="19" name="Line 25"/>
        <xdr:cNvSpPr>
          <a:spLocks/>
        </xdr:cNvSpPr>
      </xdr:nvSpPr>
      <xdr:spPr>
        <a:xfrm>
          <a:off x="857250" y="83724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0</xdr:rowOff>
    </xdr:from>
    <xdr:to>
      <xdr:col>2</xdr:col>
      <xdr:colOff>0</xdr:colOff>
      <xdr:row>25</xdr:row>
      <xdr:rowOff>0</xdr:rowOff>
    </xdr:to>
    <xdr:sp>
      <xdr:nvSpPr>
        <xdr:cNvPr id="20" name="Line 26"/>
        <xdr:cNvSpPr>
          <a:spLocks/>
        </xdr:cNvSpPr>
      </xdr:nvSpPr>
      <xdr:spPr>
        <a:xfrm>
          <a:off x="857250" y="5581650"/>
          <a:ext cx="7048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0</xdr:col>
      <xdr:colOff>752475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47750"/>
          <a:ext cx="7429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752475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047750"/>
          <a:ext cx="7429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0</xdr:col>
      <xdr:colOff>752475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1047750"/>
          <a:ext cx="7429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467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0</xdr:col>
      <xdr:colOff>752475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4672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1047750"/>
          <a:ext cx="7429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48006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752475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743700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752475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743700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0</xdr:col>
      <xdr:colOff>752475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743700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752475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8982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0</xdr:rowOff>
    </xdr:from>
    <xdr:to>
      <xdr:col>0</xdr:col>
      <xdr:colOff>752475</xdr:colOff>
      <xdr:row>39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8982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0</xdr:rowOff>
    </xdr:from>
    <xdr:to>
      <xdr:col>1</xdr:col>
      <xdr:colOff>0</xdr:colOff>
      <xdr:row>31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6743700"/>
          <a:ext cx="7429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0</xdr:col>
      <xdr:colOff>752475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244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752475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7244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800100"/>
          <a:ext cx="11620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0577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752475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9144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0</xdr:col>
      <xdr:colOff>752475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914400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0</xdr:rowOff>
    </xdr:from>
    <xdr:to>
      <xdr:col>1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5867400"/>
          <a:ext cx="11620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762000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7524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685800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524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685800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524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762000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57250"/>
          <a:ext cx="752475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685800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524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0</xdr:rowOff>
    </xdr:from>
    <xdr:to>
      <xdr:col>0</xdr:col>
      <xdr:colOff>685800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4524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0</xdr:col>
      <xdr:colOff>762000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11430000"/>
          <a:ext cx="7524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0</xdr:rowOff>
    </xdr:from>
    <xdr:to>
      <xdr:col>0</xdr:col>
      <xdr:colOff>762000</xdr:colOff>
      <xdr:row>49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11430000"/>
          <a:ext cx="7524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581025</xdr:colOff>
      <xdr:row>61</xdr:row>
      <xdr:rowOff>0</xdr:rowOff>
    </xdr:to>
    <xdr:sp>
      <xdr:nvSpPr>
        <xdr:cNvPr id="9" name="Line 9"/>
        <xdr:cNvSpPr>
          <a:spLocks/>
        </xdr:cNvSpPr>
      </xdr:nvSpPr>
      <xdr:spPr>
        <a:xfrm>
          <a:off x="2447925" y="14154150"/>
          <a:ext cx="571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581025</xdr:colOff>
      <xdr:row>69</xdr:row>
      <xdr:rowOff>0</xdr:rowOff>
    </xdr:to>
    <xdr:sp>
      <xdr:nvSpPr>
        <xdr:cNvPr id="10" name="Line 10"/>
        <xdr:cNvSpPr>
          <a:spLocks/>
        </xdr:cNvSpPr>
      </xdr:nvSpPr>
      <xdr:spPr>
        <a:xfrm>
          <a:off x="2447925" y="15773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581025</xdr:colOff>
      <xdr:row>69</xdr:row>
      <xdr:rowOff>0</xdr:rowOff>
    </xdr:to>
    <xdr:sp>
      <xdr:nvSpPr>
        <xdr:cNvPr id="11" name="Line 11"/>
        <xdr:cNvSpPr>
          <a:spLocks/>
        </xdr:cNvSpPr>
      </xdr:nvSpPr>
      <xdr:spPr>
        <a:xfrm>
          <a:off x="2447925" y="15773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59</xdr:row>
      <xdr:rowOff>0</xdr:rowOff>
    </xdr:from>
    <xdr:to>
      <xdr:col>3</xdr:col>
      <xdr:colOff>581025</xdr:colOff>
      <xdr:row>61</xdr:row>
      <xdr:rowOff>0</xdr:rowOff>
    </xdr:to>
    <xdr:sp>
      <xdr:nvSpPr>
        <xdr:cNvPr id="12" name="Line 12"/>
        <xdr:cNvSpPr>
          <a:spLocks/>
        </xdr:cNvSpPr>
      </xdr:nvSpPr>
      <xdr:spPr>
        <a:xfrm>
          <a:off x="2447925" y="14154150"/>
          <a:ext cx="5715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581025</xdr:colOff>
      <xdr:row>69</xdr:row>
      <xdr:rowOff>0</xdr:rowOff>
    </xdr:to>
    <xdr:sp>
      <xdr:nvSpPr>
        <xdr:cNvPr id="13" name="Line 13"/>
        <xdr:cNvSpPr>
          <a:spLocks/>
        </xdr:cNvSpPr>
      </xdr:nvSpPr>
      <xdr:spPr>
        <a:xfrm>
          <a:off x="2447925" y="15773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581025</xdr:colOff>
      <xdr:row>69</xdr:row>
      <xdr:rowOff>0</xdr:rowOff>
    </xdr:to>
    <xdr:sp>
      <xdr:nvSpPr>
        <xdr:cNvPr id="14" name="Line 14"/>
        <xdr:cNvSpPr>
          <a:spLocks/>
        </xdr:cNvSpPr>
      </xdr:nvSpPr>
      <xdr:spPr>
        <a:xfrm>
          <a:off x="2447925" y="157734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zoomScaleSheetLayoutView="100" workbookViewId="0" topLeftCell="A1">
      <pane xSplit="1" topLeftCell="B1" activePane="topRight" state="frozen"/>
      <selection pane="topLeft" activeCell="A1" sqref="A1"/>
      <selection pane="topRight" activeCell="U11" sqref="U11"/>
    </sheetView>
  </sheetViews>
  <sheetFormatPr defaultColWidth="9.00390625" defaultRowHeight="12.75"/>
  <cols>
    <col min="1" max="1" width="11.125" style="1" customWidth="1"/>
    <col min="2" max="2" width="9.375" style="1" customWidth="1"/>
    <col min="3" max="3" width="9.625" style="1" customWidth="1"/>
    <col min="4" max="4" width="6.75390625" style="1" customWidth="1"/>
    <col min="5" max="5" width="8.25390625" style="1" customWidth="1"/>
    <col min="6" max="7" width="10.00390625" style="1" hidden="1" customWidth="1"/>
    <col min="8" max="8" width="6.875" style="1" hidden="1" customWidth="1"/>
    <col min="9" max="9" width="8.25390625" style="1" hidden="1" customWidth="1"/>
    <col min="10" max="10" width="9.375" style="1" hidden="1" customWidth="1"/>
    <col min="11" max="11" width="9.875" style="1" hidden="1" customWidth="1"/>
    <col min="12" max="12" width="7.625" style="1" hidden="1" customWidth="1"/>
    <col min="13" max="13" width="7.75390625" style="1" hidden="1" customWidth="1"/>
    <col min="14" max="14" width="9.375" style="1" hidden="1" customWidth="1"/>
    <col min="15" max="15" width="9.625" style="1" hidden="1" customWidth="1"/>
    <col min="16" max="16" width="7.00390625" style="1" hidden="1" customWidth="1"/>
    <col min="17" max="17" width="8.875" style="1" hidden="1" customWidth="1"/>
    <col min="18" max="19" width="9.75390625" style="1" customWidth="1"/>
    <col min="20" max="20" width="7.125" style="1" customWidth="1"/>
    <col min="21" max="21" width="8.25390625" style="1" customWidth="1"/>
    <col min="22" max="16384" width="9.125" style="1" customWidth="1"/>
  </cols>
  <sheetData>
    <row r="1" spans="28:29" ht="24.75" customHeight="1">
      <c r="AB1" s="261" t="s">
        <v>36</v>
      </c>
      <c r="AC1" s="261"/>
    </row>
    <row r="2" spans="1:29" ht="21.75" customHeight="1">
      <c r="A2" s="250" t="s">
        <v>336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</row>
    <row r="3" spans="1:29" ht="15.7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</row>
    <row r="4" spans="1:27" ht="12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</row>
    <row r="5" spans="1:27" ht="24.7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</row>
    <row r="6" spans="18:21" ht="13.5" thickBot="1">
      <c r="R6" s="132"/>
      <c r="S6" s="132"/>
      <c r="T6" s="132"/>
      <c r="U6" s="132"/>
    </row>
    <row r="7" spans="1:29" ht="15" customHeight="1">
      <c r="A7" s="96" t="s">
        <v>0</v>
      </c>
      <c r="B7" s="253" t="s">
        <v>1</v>
      </c>
      <c r="C7" s="254"/>
      <c r="D7" s="254"/>
      <c r="E7" s="255"/>
      <c r="F7" s="262" t="s">
        <v>141</v>
      </c>
      <c r="G7" s="263"/>
      <c r="H7" s="263"/>
      <c r="I7" s="264"/>
      <c r="J7" s="237" t="s">
        <v>116</v>
      </c>
      <c r="K7" s="238"/>
      <c r="L7" s="238"/>
      <c r="M7" s="239"/>
      <c r="N7" s="268" t="s">
        <v>133</v>
      </c>
      <c r="O7" s="244"/>
      <c r="P7" s="244"/>
      <c r="Q7" s="245"/>
      <c r="R7" s="242" t="s">
        <v>35</v>
      </c>
      <c r="S7" s="263"/>
      <c r="T7" s="263"/>
      <c r="U7" s="243"/>
      <c r="V7" s="262" t="s">
        <v>169</v>
      </c>
      <c r="W7" s="263"/>
      <c r="X7" s="263"/>
      <c r="Y7" s="243"/>
      <c r="Z7" s="235" t="s">
        <v>3</v>
      </c>
      <c r="AA7" s="244"/>
      <c r="AB7" s="244"/>
      <c r="AC7" s="245"/>
    </row>
    <row r="8" spans="1:29" ht="12.75">
      <c r="A8" s="249" t="s">
        <v>4</v>
      </c>
      <c r="B8" s="256"/>
      <c r="C8" s="257"/>
      <c r="D8" s="257"/>
      <c r="E8" s="258"/>
      <c r="F8" s="265"/>
      <c r="G8" s="266"/>
      <c r="H8" s="266"/>
      <c r="I8" s="267"/>
      <c r="J8" s="240"/>
      <c r="K8" s="269"/>
      <c r="L8" s="269"/>
      <c r="M8" s="270"/>
      <c r="N8" s="246"/>
      <c r="O8" s="247"/>
      <c r="P8" s="247"/>
      <c r="Q8" s="248"/>
      <c r="R8" s="233"/>
      <c r="S8" s="266"/>
      <c r="T8" s="266"/>
      <c r="U8" s="234"/>
      <c r="V8" s="265"/>
      <c r="W8" s="266"/>
      <c r="X8" s="266"/>
      <c r="Y8" s="234"/>
      <c r="Z8" s="236"/>
      <c r="AA8" s="247"/>
      <c r="AB8" s="247"/>
      <c r="AC8" s="248"/>
    </row>
    <row r="9" spans="1:29" ht="51">
      <c r="A9" s="241"/>
      <c r="B9" s="2" t="s">
        <v>170</v>
      </c>
      <c r="C9" s="2" t="s">
        <v>220</v>
      </c>
      <c r="D9" s="2" t="s">
        <v>129</v>
      </c>
      <c r="E9" s="18" t="s">
        <v>85</v>
      </c>
      <c r="F9" s="2" t="s">
        <v>171</v>
      </c>
      <c r="G9" s="2" t="s">
        <v>221</v>
      </c>
      <c r="H9" s="2" t="s">
        <v>129</v>
      </c>
      <c r="I9" s="176" t="s">
        <v>85</v>
      </c>
      <c r="J9" s="2" t="s">
        <v>172</v>
      </c>
      <c r="K9" s="2" t="s">
        <v>222</v>
      </c>
      <c r="L9" s="40" t="s">
        <v>5</v>
      </c>
      <c r="M9" s="41" t="s">
        <v>87</v>
      </c>
      <c r="N9" s="2" t="s">
        <v>172</v>
      </c>
      <c r="O9" s="2" t="s">
        <v>222</v>
      </c>
      <c r="P9" s="40" t="s">
        <v>5</v>
      </c>
      <c r="Q9" s="41" t="s">
        <v>87</v>
      </c>
      <c r="R9" s="2" t="s">
        <v>179</v>
      </c>
      <c r="S9" s="2" t="s">
        <v>246</v>
      </c>
      <c r="T9" s="40" t="s">
        <v>5</v>
      </c>
      <c r="U9" s="41" t="s">
        <v>86</v>
      </c>
      <c r="V9" s="2" t="s">
        <v>180</v>
      </c>
      <c r="W9" s="2" t="s">
        <v>252</v>
      </c>
      <c r="X9" s="40" t="s">
        <v>5</v>
      </c>
      <c r="Y9" s="41" t="s">
        <v>87</v>
      </c>
      <c r="Z9" s="2" t="s">
        <v>180</v>
      </c>
      <c r="AA9" s="2" t="s">
        <v>252</v>
      </c>
      <c r="AB9" s="40" t="s">
        <v>5</v>
      </c>
      <c r="AC9" s="41" t="s">
        <v>87</v>
      </c>
    </row>
    <row r="10" spans="1:29" ht="12.75">
      <c r="A10" s="24">
        <v>1</v>
      </c>
      <c r="B10" s="3">
        <v>2</v>
      </c>
      <c r="C10" s="3">
        <v>3</v>
      </c>
      <c r="D10" s="3">
        <v>4</v>
      </c>
      <c r="E10" s="19">
        <v>5</v>
      </c>
      <c r="F10" s="188">
        <v>6</v>
      </c>
      <c r="G10" s="42">
        <v>7</v>
      </c>
      <c r="H10" s="42">
        <v>8</v>
      </c>
      <c r="I10" s="212">
        <v>9</v>
      </c>
      <c r="J10" s="83">
        <v>10</v>
      </c>
      <c r="K10" s="84">
        <v>11</v>
      </c>
      <c r="L10" s="84">
        <v>12</v>
      </c>
      <c r="M10" s="85">
        <v>13</v>
      </c>
      <c r="N10" s="219">
        <v>14</v>
      </c>
      <c r="O10" s="42">
        <v>15</v>
      </c>
      <c r="P10" s="42">
        <v>16</v>
      </c>
      <c r="Q10" s="55">
        <v>17</v>
      </c>
      <c r="R10" s="219">
        <v>18</v>
      </c>
      <c r="S10" s="42">
        <v>19</v>
      </c>
      <c r="T10" s="42">
        <v>20</v>
      </c>
      <c r="U10" s="43">
        <v>21</v>
      </c>
      <c r="V10" s="42">
        <v>22</v>
      </c>
      <c r="W10" s="42">
        <v>23</v>
      </c>
      <c r="X10" s="42">
        <v>24</v>
      </c>
      <c r="Y10" s="43">
        <v>25</v>
      </c>
      <c r="Z10" s="88">
        <v>26</v>
      </c>
      <c r="AA10" s="42">
        <v>27</v>
      </c>
      <c r="AB10" s="42">
        <v>28</v>
      </c>
      <c r="AC10" s="43">
        <v>29</v>
      </c>
    </row>
    <row r="11" spans="1:29" s="6" customFormat="1" ht="26.25" customHeight="1">
      <c r="A11" s="78" t="s">
        <v>6</v>
      </c>
      <c r="B11" s="182" t="s">
        <v>103</v>
      </c>
      <c r="C11" s="182" t="s">
        <v>229</v>
      </c>
      <c r="D11" s="183">
        <f>(13.05/18.2)*100</f>
        <v>71.70329670329672</v>
      </c>
      <c r="E11" s="184">
        <f>13.05-18.2</f>
        <v>-5.149999999999999</v>
      </c>
      <c r="F11" s="185" t="s">
        <v>130</v>
      </c>
      <c r="G11" s="185">
        <v>89.78</v>
      </c>
      <c r="H11" s="117"/>
      <c r="I11" s="213"/>
      <c r="J11" s="222" t="s">
        <v>117</v>
      </c>
      <c r="K11" s="222" t="s">
        <v>236</v>
      </c>
      <c r="L11" s="91">
        <f>(160.83/243.22)*100</f>
        <v>66.12531864155909</v>
      </c>
      <c r="M11" s="92">
        <f>160.83-243.22</f>
        <v>-82.38999999999999</v>
      </c>
      <c r="N11" s="224" t="s">
        <v>157</v>
      </c>
      <c r="O11" s="74" t="s">
        <v>243</v>
      </c>
      <c r="P11" s="80">
        <f>(36.59/67.21)*100</f>
        <v>54.4413033774736</v>
      </c>
      <c r="Q11" s="81">
        <f>36.59-67.21</f>
        <v>-30.61999999999999</v>
      </c>
      <c r="R11" s="79" t="s">
        <v>134</v>
      </c>
      <c r="S11" s="79" t="s">
        <v>350</v>
      </c>
      <c r="T11" s="80">
        <f>(692.66/604.16)*100</f>
        <v>114.6484375</v>
      </c>
      <c r="U11" s="81">
        <f>692.66-604.16</f>
        <v>88.5</v>
      </c>
      <c r="V11" s="82" t="s">
        <v>91</v>
      </c>
      <c r="W11" s="82" t="s">
        <v>91</v>
      </c>
      <c r="X11" s="80">
        <v>100</v>
      </c>
      <c r="Y11" s="81">
        <f>14.68-14.68</f>
        <v>0</v>
      </c>
      <c r="Z11" s="82" t="s">
        <v>93</v>
      </c>
      <c r="AA11" s="82" t="s">
        <v>262</v>
      </c>
      <c r="AB11" s="80">
        <v>100</v>
      </c>
      <c r="AC11" s="81">
        <v>0</v>
      </c>
    </row>
    <row r="12" spans="1:29" s="6" customFormat="1" ht="26.25" customHeight="1">
      <c r="A12" s="25" t="s">
        <v>7</v>
      </c>
      <c r="B12" s="4" t="s">
        <v>109</v>
      </c>
      <c r="C12" s="4" t="s">
        <v>225</v>
      </c>
      <c r="D12" s="186">
        <v>100</v>
      </c>
      <c r="E12" s="187">
        <v>0</v>
      </c>
      <c r="F12" s="4" t="s">
        <v>150</v>
      </c>
      <c r="G12" s="4" t="s">
        <v>150</v>
      </c>
      <c r="H12" s="32">
        <v>100</v>
      </c>
      <c r="I12" s="214">
        <v>0</v>
      </c>
      <c r="J12" s="222" t="s">
        <v>173</v>
      </c>
      <c r="K12" s="222" t="s">
        <v>237</v>
      </c>
      <c r="L12" s="91">
        <v>100</v>
      </c>
      <c r="M12" s="92">
        <v>0</v>
      </c>
      <c r="N12" s="220" t="s">
        <v>152</v>
      </c>
      <c r="O12" s="36" t="s">
        <v>245</v>
      </c>
      <c r="P12" s="44">
        <v>100</v>
      </c>
      <c r="Q12" s="45">
        <v>0</v>
      </c>
      <c r="R12" s="36" t="s">
        <v>135</v>
      </c>
      <c r="S12" s="36" t="s">
        <v>247</v>
      </c>
      <c r="T12" s="44">
        <f>(500.45/403.45)*100</f>
        <v>124.04263229644319</v>
      </c>
      <c r="U12" s="45">
        <f>500.45-403.45</f>
        <v>97</v>
      </c>
      <c r="V12" s="36" t="s">
        <v>56</v>
      </c>
      <c r="W12" s="36" t="s">
        <v>56</v>
      </c>
      <c r="X12" s="44">
        <v>100</v>
      </c>
      <c r="Y12" s="45">
        <v>0</v>
      </c>
      <c r="Z12" s="36" t="s">
        <v>64</v>
      </c>
      <c r="AA12" s="36" t="s">
        <v>64</v>
      </c>
      <c r="AB12" s="44">
        <v>100</v>
      </c>
      <c r="AC12" s="45">
        <v>0</v>
      </c>
    </row>
    <row r="13" spans="1:29" s="6" customFormat="1" ht="26.25" customHeight="1">
      <c r="A13" s="25" t="s">
        <v>8</v>
      </c>
      <c r="B13" s="182" t="s">
        <v>105</v>
      </c>
      <c r="C13" s="182" t="s">
        <v>105</v>
      </c>
      <c r="D13" s="183">
        <v>100</v>
      </c>
      <c r="E13" s="184">
        <v>0</v>
      </c>
      <c r="F13" s="4" t="s">
        <v>131</v>
      </c>
      <c r="G13" s="4" t="s">
        <v>131</v>
      </c>
      <c r="H13" s="4" t="s">
        <v>131</v>
      </c>
      <c r="I13" s="215" t="s">
        <v>131</v>
      </c>
      <c r="J13" s="222" t="s">
        <v>174</v>
      </c>
      <c r="K13" s="222" t="s">
        <v>233</v>
      </c>
      <c r="L13" s="91">
        <f>(251.93/217.98)*100</f>
        <v>115.5748233782916</v>
      </c>
      <c r="M13" s="92">
        <f>251.93-217.98</f>
        <v>33.95000000000002</v>
      </c>
      <c r="N13" s="220" t="s">
        <v>153</v>
      </c>
      <c r="O13" s="36" t="s">
        <v>244</v>
      </c>
      <c r="P13" s="44">
        <f>(34.07/31.2)*100</f>
        <v>109.19871794871796</v>
      </c>
      <c r="Q13" s="45">
        <f>34.07-31.2</f>
        <v>2.870000000000001</v>
      </c>
      <c r="R13" s="36" t="s">
        <v>136</v>
      </c>
      <c r="S13" s="36" t="s">
        <v>248</v>
      </c>
      <c r="T13" s="44">
        <f>(518.08/453.12)*100</f>
        <v>114.3361581920904</v>
      </c>
      <c r="U13" s="45">
        <f>518.08-453.12</f>
        <v>64.96000000000004</v>
      </c>
      <c r="V13" s="36" t="s">
        <v>57</v>
      </c>
      <c r="W13" s="36" t="s">
        <v>257</v>
      </c>
      <c r="X13" s="44">
        <f>(14.16/12.98)*100</f>
        <v>109.09090909090908</v>
      </c>
      <c r="Y13" s="45">
        <f>14.16-12.98</f>
        <v>1.1799999999999997</v>
      </c>
      <c r="Z13" s="36" t="s">
        <v>61</v>
      </c>
      <c r="AA13" s="36" t="s">
        <v>57</v>
      </c>
      <c r="AB13" s="44">
        <f>(12.98/11.8)*100</f>
        <v>109.99999999999999</v>
      </c>
      <c r="AC13" s="45">
        <f>12.98-11.8</f>
        <v>1.1799999999999997</v>
      </c>
    </row>
    <row r="14" spans="1:29" s="6" customFormat="1" ht="26.25" customHeight="1">
      <c r="A14" s="25" t="s">
        <v>9</v>
      </c>
      <c r="B14" s="4" t="s">
        <v>108</v>
      </c>
      <c r="C14" s="4" t="s">
        <v>224</v>
      </c>
      <c r="D14" s="186">
        <v>100</v>
      </c>
      <c r="E14" s="187">
        <v>0</v>
      </c>
      <c r="F14" s="4" t="s">
        <v>131</v>
      </c>
      <c r="G14" s="4" t="s">
        <v>131</v>
      </c>
      <c r="H14" s="4" t="s">
        <v>131</v>
      </c>
      <c r="I14" s="215" t="s">
        <v>131</v>
      </c>
      <c r="J14" s="222" t="s">
        <v>175</v>
      </c>
      <c r="K14" s="222" t="s">
        <v>231</v>
      </c>
      <c r="L14" s="91">
        <f>(376.42/345.14)*100</f>
        <v>109.0629889320276</v>
      </c>
      <c r="M14" s="92">
        <f>376.42-345.14</f>
        <v>31.28000000000003</v>
      </c>
      <c r="N14" s="220" t="s">
        <v>154</v>
      </c>
      <c r="O14" s="36" t="s">
        <v>239</v>
      </c>
      <c r="P14" s="44">
        <f>(83.9/72.98)*100</f>
        <v>114.9630035626199</v>
      </c>
      <c r="Q14" s="45">
        <f>83.9-72.98</f>
        <v>10.920000000000002</v>
      </c>
      <c r="R14" s="36" t="s">
        <v>137</v>
      </c>
      <c r="S14" s="36" t="s">
        <v>249</v>
      </c>
      <c r="T14" s="44">
        <f>(1008.9/952.26)*100</f>
        <v>105.94795539033457</v>
      </c>
      <c r="U14" s="45">
        <f>1008.9-952.26</f>
        <v>56.639999999999986</v>
      </c>
      <c r="V14" s="36" t="s">
        <v>111</v>
      </c>
      <c r="W14" s="36" t="s">
        <v>253</v>
      </c>
      <c r="X14" s="44">
        <f>(38.74/31.7)*100</f>
        <v>122.20820189274448</v>
      </c>
      <c r="Y14" s="45">
        <f>38.74-31.7</f>
        <v>7.040000000000003</v>
      </c>
      <c r="Z14" s="36" t="s">
        <v>112</v>
      </c>
      <c r="AA14" s="36" t="s">
        <v>255</v>
      </c>
      <c r="AB14" s="44">
        <f>(49.75/43.41)*100</f>
        <v>114.60492973969131</v>
      </c>
      <c r="AC14" s="45">
        <f>49.75-43.41</f>
        <v>6.340000000000003</v>
      </c>
    </row>
    <row r="15" spans="1:29" s="6" customFormat="1" ht="26.25" customHeight="1">
      <c r="A15" s="25" t="s">
        <v>10</v>
      </c>
      <c r="B15" s="4" t="s">
        <v>107</v>
      </c>
      <c r="C15" s="4" t="s">
        <v>228</v>
      </c>
      <c r="D15" s="49">
        <v>100</v>
      </c>
      <c r="E15" s="61">
        <v>0</v>
      </c>
      <c r="F15" s="36" t="s">
        <v>132</v>
      </c>
      <c r="G15" s="36" t="s">
        <v>132</v>
      </c>
      <c r="H15" s="44">
        <v>100</v>
      </c>
      <c r="I15" s="216">
        <v>0</v>
      </c>
      <c r="J15" s="222" t="s">
        <v>151</v>
      </c>
      <c r="K15" s="222" t="s">
        <v>235</v>
      </c>
      <c r="L15" s="91">
        <v>100</v>
      </c>
      <c r="M15" s="92">
        <v>0</v>
      </c>
      <c r="N15" s="220" t="s">
        <v>155</v>
      </c>
      <c r="O15" s="36" t="s">
        <v>241</v>
      </c>
      <c r="P15" s="44">
        <f>(43.51/36.25)*100</f>
        <v>120.02758620689656</v>
      </c>
      <c r="Q15" s="45">
        <f>43.51-36.25</f>
        <v>7.259999999999998</v>
      </c>
      <c r="R15" s="36" t="s">
        <v>138</v>
      </c>
      <c r="S15" s="36" t="s">
        <v>250</v>
      </c>
      <c r="T15" s="44">
        <f>(597.08/520.38)*100</f>
        <v>114.73922902494331</v>
      </c>
      <c r="U15" s="45">
        <f>597.08-520.38</f>
        <v>76.70000000000005</v>
      </c>
      <c r="V15" s="36" t="s">
        <v>60</v>
      </c>
      <c r="W15" s="36" t="s">
        <v>259</v>
      </c>
      <c r="X15" s="44">
        <f>(13.33/13.04)*100</f>
        <v>102.2239263803681</v>
      </c>
      <c r="Y15" s="45">
        <f>13.33-13.04</f>
        <v>0.2900000000000009</v>
      </c>
      <c r="Z15" s="36" t="s">
        <v>94</v>
      </c>
      <c r="AA15" s="36" t="s">
        <v>260</v>
      </c>
      <c r="AB15" s="44">
        <f>(19.82/16.57)*100</f>
        <v>119.6137598068799</v>
      </c>
      <c r="AC15" s="45">
        <f>19.82-16.57</f>
        <v>3.25</v>
      </c>
    </row>
    <row r="16" spans="1:29" s="6" customFormat="1" ht="26.25" customHeight="1">
      <c r="A16" s="25" t="s">
        <v>11</v>
      </c>
      <c r="B16" s="4" t="s">
        <v>110</v>
      </c>
      <c r="C16" s="4" t="s">
        <v>227</v>
      </c>
      <c r="D16" s="49">
        <f>(14.31/13.11)*100</f>
        <v>109.15331807780322</v>
      </c>
      <c r="E16" s="61">
        <f>14.31-13.11</f>
        <v>1.200000000000001</v>
      </c>
      <c r="F16" s="36" t="s">
        <v>149</v>
      </c>
      <c r="G16" s="36" t="s">
        <v>230</v>
      </c>
      <c r="H16" s="44">
        <f>(102/95)*100</f>
        <v>107.36842105263158</v>
      </c>
      <c r="I16" s="216">
        <f>102-95</f>
        <v>7</v>
      </c>
      <c r="J16" s="222" t="s">
        <v>176</v>
      </c>
      <c r="K16" s="222" t="s">
        <v>232</v>
      </c>
      <c r="L16" s="91">
        <f>(275/223.32)*100</f>
        <v>123.14168010030451</v>
      </c>
      <c r="M16" s="92">
        <f>275-223.32</f>
        <v>51.68000000000001</v>
      </c>
      <c r="N16" s="220" t="s">
        <v>156</v>
      </c>
      <c r="O16" s="36" t="s">
        <v>240</v>
      </c>
      <c r="P16" s="44">
        <f>(138.06/118)*100</f>
        <v>117</v>
      </c>
      <c r="Q16" s="45">
        <f>138.06-118</f>
        <v>20.060000000000002</v>
      </c>
      <c r="R16" s="36" t="s">
        <v>139</v>
      </c>
      <c r="S16" s="36" t="s">
        <v>251</v>
      </c>
      <c r="T16" s="44">
        <f>(551/522)*100</f>
        <v>105.55555555555556</v>
      </c>
      <c r="U16" s="45">
        <f>551-522</f>
        <v>29</v>
      </c>
      <c r="V16" s="36" t="s">
        <v>58</v>
      </c>
      <c r="W16" s="36" t="s">
        <v>254</v>
      </c>
      <c r="X16" s="44">
        <f>(12.8/11.89)*100</f>
        <v>107.65349032800673</v>
      </c>
      <c r="Y16" s="45">
        <f>12.8-11.89</f>
        <v>0.9100000000000001</v>
      </c>
      <c r="Z16" s="36" t="s">
        <v>63</v>
      </c>
      <c r="AA16" s="36" t="s">
        <v>256</v>
      </c>
      <c r="AB16" s="44">
        <f>(11.51/10.79)*100</f>
        <v>106.67284522706211</v>
      </c>
      <c r="AC16" s="45">
        <f>11.51-10.79</f>
        <v>0.7200000000000006</v>
      </c>
    </row>
    <row r="17" spans="1:29" s="6" customFormat="1" ht="26.25" customHeight="1">
      <c r="A17" s="25" t="s">
        <v>12</v>
      </c>
      <c r="B17" s="4" t="s">
        <v>54</v>
      </c>
      <c r="C17" s="36" t="s">
        <v>226</v>
      </c>
      <c r="D17" s="49">
        <f>(16.89/10.33)*100</f>
        <v>163.50435624394964</v>
      </c>
      <c r="E17" s="61">
        <f>16.89-10.33</f>
        <v>6.5600000000000005</v>
      </c>
      <c r="F17" s="36" t="s">
        <v>131</v>
      </c>
      <c r="G17" s="36" t="s">
        <v>131</v>
      </c>
      <c r="H17" s="36" t="s">
        <v>131</v>
      </c>
      <c r="I17" s="217" t="s">
        <v>131</v>
      </c>
      <c r="J17" s="222" t="s">
        <v>177</v>
      </c>
      <c r="K17" s="222" t="s">
        <v>266</v>
      </c>
      <c r="L17" s="91" t="s">
        <v>238</v>
      </c>
      <c r="M17" s="92" t="s">
        <v>238</v>
      </c>
      <c r="N17" s="220" t="s">
        <v>158</v>
      </c>
      <c r="O17" s="36" t="s">
        <v>266</v>
      </c>
      <c r="P17" s="44" t="s">
        <v>238</v>
      </c>
      <c r="Q17" s="45" t="s">
        <v>238</v>
      </c>
      <c r="R17" s="36" t="s">
        <v>140</v>
      </c>
      <c r="S17" s="36" t="s">
        <v>351</v>
      </c>
      <c r="T17" s="44">
        <f>(669.06/549.88)*100</f>
        <v>121.67381974248926</v>
      </c>
      <c r="U17" s="45">
        <f>669.06-549.88</f>
        <v>119.17999999999995</v>
      </c>
      <c r="V17" s="36" t="s">
        <v>59</v>
      </c>
      <c r="W17" s="36" t="s">
        <v>59</v>
      </c>
      <c r="X17" s="44">
        <v>100</v>
      </c>
      <c r="Y17" s="45">
        <f>15.98-15.98</f>
        <v>0</v>
      </c>
      <c r="Z17" s="36" t="s">
        <v>62</v>
      </c>
      <c r="AA17" s="36" t="s">
        <v>261</v>
      </c>
      <c r="AB17" s="44">
        <v>100</v>
      </c>
      <c r="AC17" s="45">
        <v>0</v>
      </c>
    </row>
    <row r="18" spans="1:29" s="6" customFormat="1" ht="26.25" customHeight="1" thickBot="1">
      <c r="A18" s="26" t="s">
        <v>13</v>
      </c>
      <c r="B18" s="20" t="s">
        <v>106</v>
      </c>
      <c r="C18" s="20" t="s">
        <v>223</v>
      </c>
      <c r="D18" s="62">
        <f>(19.22/17.31)*100</f>
        <v>111.03408434430966</v>
      </c>
      <c r="E18" s="63">
        <f>19.22-17.31</f>
        <v>1.9100000000000001</v>
      </c>
      <c r="F18" s="46" t="s">
        <v>148</v>
      </c>
      <c r="G18" s="46" t="s">
        <v>148</v>
      </c>
      <c r="H18" s="47">
        <v>100</v>
      </c>
      <c r="I18" s="218">
        <v>0</v>
      </c>
      <c r="J18" s="223" t="s">
        <v>178</v>
      </c>
      <c r="K18" s="223" t="s">
        <v>234</v>
      </c>
      <c r="L18" s="93">
        <f>(222.55/220.6)*100</f>
        <v>100.8839528558477</v>
      </c>
      <c r="M18" s="94">
        <f>(222.55-220.6)</f>
        <v>1.950000000000017</v>
      </c>
      <c r="N18" s="221" t="s">
        <v>159</v>
      </c>
      <c r="O18" s="46" t="s">
        <v>242</v>
      </c>
      <c r="P18" s="47">
        <f>(41.02/47.15)*100</f>
        <v>86.99893955461295</v>
      </c>
      <c r="Q18" s="48">
        <f>41.02-47.15</f>
        <v>-6.1299999999999955</v>
      </c>
      <c r="R18" s="46" t="s">
        <v>55</v>
      </c>
      <c r="S18" s="46" t="s">
        <v>352</v>
      </c>
      <c r="T18" s="47">
        <v>100</v>
      </c>
      <c r="U18" s="48">
        <v>0</v>
      </c>
      <c r="V18" s="46" t="s">
        <v>92</v>
      </c>
      <c r="W18" s="46" t="s">
        <v>258</v>
      </c>
      <c r="X18" s="47">
        <v>100</v>
      </c>
      <c r="Y18" s="48">
        <v>0</v>
      </c>
      <c r="Z18" s="46" t="s">
        <v>95</v>
      </c>
      <c r="AA18" s="46" t="s">
        <v>95</v>
      </c>
      <c r="AB18" s="47">
        <v>100</v>
      </c>
      <c r="AC18" s="48">
        <v>0</v>
      </c>
    </row>
    <row r="19" spans="18:21" ht="12.75">
      <c r="R19" s="132"/>
      <c r="S19" s="132"/>
      <c r="T19" s="132"/>
      <c r="U19" s="132"/>
    </row>
    <row r="20" spans="1:21" ht="12" customHeight="1" hidden="1">
      <c r="A20" s="16" t="s">
        <v>147</v>
      </c>
      <c r="R20" s="132"/>
      <c r="S20" s="132"/>
      <c r="T20" s="132"/>
      <c r="U20" s="132"/>
    </row>
    <row r="21" spans="1:21" ht="12.75" hidden="1">
      <c r="A21" s="17" t="s">
        <v>267</v>
      </c>
      <c r="R21" s="132"/>
      <c r="S21" s="132"/>
      <c r="T21" s="132"/>
      <c r="U21" s="132"/>
    </row>
    <row r="22" spans="1:30" ht="12.75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</row>
    <row r="23" spans="1:30" ht="12.75">
      <c r="A23" s="195"/>
      <c r="B23" s="180"/>
      <c r="C23" s="259"/>
      <c r="D23" s="259"/>
      <c r="E23" s="259"/>
      <c r="F23" s="259"/>
      <c r="G23" s="259"/>
      <c r="H23" s="259"/>
      <c r="I23" s="259"/>
      <c r="J23" s="259"/>
      <c r="K23" s="251"/>
      <c r="L23" s="251"/>
      <c r="M23" s="251"/>
      <c r="N23" s="251"/>
      <c r="O23" s="260"/>
      <c r="P23" s="260"/>
      <c r="Q23" s="260"/>
      <c r="R23" s="260"/>
      <c r="S23" s="259"/>
      <c r="T23" s="259"/>
      <c r="U23" s="259"/>
      <c r="V23" s="259"/>
      <c r="W23" s="259"/>
      <c r="X23" s="259"/>
      <c r="Y23" s="259"/>
      <c r="Z23" s="259"/>
      <c r="AA23" s="260"/>
      <c r="AB23" s="260"/>
      <c r="AC23" s="260"/>
      <c r="AD23" s="260"/>
    </row>
    <row r="24" spans="1:30" ht="12.75">
      <c r="A24" s="132"/>
      <c r="B24" s="252"/>
      <c r="C24" s="259"/>
      <c r="D24" s="259"/>
      <c r="E24" s="259"/>
      <c r="F24" s="259"/>
      <c r="G24" s="259"/>
      <c r="H24" s="259"/>
      <c r="I24" s="259"/>
      <c r="J24" s="259"/>
      <c r="K24" s="251"/>
      <c r="L24" s="251"/>
      <c r="M24" s="251"/>
      <c r="N24" s="251"/>
      <c r="O24" s="260"/>
      <c r="P24" s="260"/>
      <c r="Q24" s="260"/>
      <c r="R24" s="260"/>
      <c r="S24" s="259"/>
      <c r="T24" s="259"/>
      <c r="U24" s="259"/>
      <c r="V24" s="259"/>
      <c r="W24" s="259"/>
      <c r="X24" s="259"/>
      <c r="Y24" s="259"/>
      <c r="Z24" s="259"/>
      <c r="AA24" s="260"/>
      <c r="AB24" s="260"/>
      <c r="AC24" s="260"/>
      <c r="AD24" s="260"/>
    </row>
    <row r="25" spans="1:30" ht="12.75" customHeight="1">
      <c r="A25" s="180"/>
      <c r="B25" s="25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60"/>
      <c r="N25" s="60"/>
      <c r="O25" s="12"/>
      <c r="P25" s="12"/>
      <c r="Q25" s="60"/>
      <c r="R25" s="60"/>
      <c r="S25" s="12"/>
      <c r="T25" s="12"/>
      <c r="U25" s="60"/>
      <c r="V25" s="60"/>
      <c r="W25" s="12"/>
      <c r="X25" s="12"/>
      <c r="Y25" s="60"/>
      <c r="Z25" s="60"/>
      <c r="AA25" s="12"/>
      <c r="AB25" s="12"/>
      <c r="AC25" s="60"/>
      <c r="AD25" s="60"/>
    </row>
    <row r="26" spans="1:30" ht="12.75">
      <c r="A26" s="252"/>
      <c r="B26" s="11"/>
      <c r="C26" s="11"/>
      <c r="D26" s="11"/>
      <c r="E26" s="11"/>
      <c r="F26" s="11"/>
      <c r="G26" s="160"/>
      <c r="H26" s="126"/>
      <c r="I26" s="126"/>
      <c r="J26" s="126"/>
      <c r="K26" s="160"/>
      <c r="L26" s="160"/>
      <c r="M26" s="160"/>
      <c r="N26" s="160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</row>
    <row r="27" spans="1:30" ht="63.75" customHeight="1">
      <c r="A27" s="252"/>
      <c r="B27" s="181"/>
      <c r="C27" s="196"/>
      <c r="D27" s="197"/>
      <c r="E27" s="198"/>
      <c r="F27" s="199"/>
      <c r="G27" s="38"/>
      <c r="H27" s="200"/>
      <c r="I27" s="162"/>
      <c r="J27" s="201"/>
      <c r="K27" s="202"/>
      <c r="L27" s="202"/>
      <c r="M27" s="144"/>
      <c r="N27" s="203"/>
      <c r="O27" s="127"/>
      <c r="P27" s="127"/>
      <c r="Q27" s="128"/>
      <c r="R27" s="129"/>
      <c r="S27" s="204"/>
      <c r="T27" s="204"/>
      <c r="U27" s="128"/>
      <c r="V27" s="129"/>
      <c r="W27" s="127"/>
      <c r="X27" s="127"/>
      <c r="Y27" s="128"/>
      <c r="Z27" s="129"/>
      <c r="AA27" s="127"/>
      <c r="AB27" s="127"/>
      <c r="AC27" s="128"/>
      <c r="AD27" s="129"/>
    </row>
    <row r="28" spans="1:30" ht="12.75">
      <c r="A28" s="11"/>
      <c r="B28" s="57"/>
      <c r="C28" s="205"/>
      <c r="D28" s="38"/>
      <c r="E28" s="206"/>
      <c r="F28" s="207"/>
      <c r="G28" s="38"/>
      <c r="H28" s="38"/>
      <c r="I28" s="143"/>
      <c r="J28" s="208"/>
      <c r="K28" s="202"/>
      <c r="L28" s="202"/>
      <c r="M28" s="144"/>
      <c r="N28" s="209"/>
      <c r="O28" s="58"/>
      <c r="P28" s="58"/>
      <c r="Q28" s="58"/>
      <c r="R28" s="58"/>
      <c r="S28" s="58"/>
      <c r="T28" s="58"/>
      <c r="U28" s="130"/>
      <c r="V28" s="131"/>
      <c r="W28" s="58"/>
      <c r="X28" s="58"/>
      <c r="Y28" s="130"/>
      <c r="Z28" s="131"/>
      <c r="AA28" s="58"/>
      <c r="AB28" s="58"/>
      <c r="AC28" s="130"/>
      <c r="AD28" s="131"/>
    </row>
    <row r="29" spans="1:30" ht="24" customHeight="1">
      <c r="A29" s="181"/>
      <c r="B29" s="57"/>
      <c r="C29" s="196"/>
      <c r="D29" s="197"/>
      <c r="E29" s="198"/>
      <c r="F29" s="199"/>
      <c r="G29" s="38"/>
      <c r="H29" s="38"/>
      <c r="I29" s="38"/>
      <c r="J29" s="38"/>
      <c r="K29" s="202"/>
      <c r="L29" s="202"/>
      <c r="M29" s="144"/>
      <c r="N29" s="209"/>
      <c r="O29" s="58"/>
      <c r="P29" s="58"/>
      <c r="Q29" s="58"/>
      <c r="R29" s="58"/>
      <c r="S29" s="58"/>
      <c r="T29" s="58"/>
      <c r="U29" s="130"/>
      <c r="V29" s="131"/>
      <c r="W29" s="58"/>
      <c r="X29" s="58"/>
      <c r="Y29" s="130"/>
      <c r="Z29" s="131"/>
      <c r="AA29" s="58"/>
      <c r="AB29" s="58"/>
      <c r="AC29" s="130"/>
      <c r="AD29" s="131"/>
    </row>
    <row r="30" spans="1:30" ht="12.75">
      <c r="A30" s="57"/>
      <c r="B30" s="57"/>
      <c r="C30" s="205"/>
      <c r="D30" s="38"/>
      <c r="E30" s="206"/>
      <c r="F30" s="207"/>
      <c r="G30" s="38"/>
      <c r="H30" s="38"/>
      <c r="I30" s="38"/>
      <c r="J30" s="38"/>
      <c r="K30" s="202"/>
      <c r="L30" s="202"/>
      <c r="M30" s="144"/>
      <c r="N30" s="209"/>
      <c r="O30" s="58"/>
      <c r="P30" s="58"/>
      <c r="Q30" s="58"/>
      <c r="R30" s="58"/>
      <c r="S30" s="58"/>
      <c r="T30" s="58"/>
      <c r="U30" s="130"/>
      <c r="V30" s="131"/>
      <c r="W30" s="58"/>
      <c r="X30" s="58"/>
      <c r="Y30" s="130"/>
      <c r="Z30" s="131"/>
      <c r="AA30" s="58"/>
      <c r="AB30" s="58"/>
      <c r="AC30" s="130"/>
      <c r="AD30" s="131"/>
    </row>
    <row r="31" spans="1:30" ht="12.75">
      <c r="A31" s="57"/>
      <c r="B31" s="57"/>
      <c r="C31" s="205"/>
      <c r="D31" s="38"/>
      <c r="E31" s="210"/>
      <c r="F31" s="211"/>
      <c r="G31" s="58"/>
      <c r="H31" s="58"/>
      <c r="I31" s="130"/>
      <c r="J31" s="131"/>
      <c r="K31" s="202"/>
      <c r="L31" s="202"/>
      <c r="M31" s="144"/>
      <c r="N31" s="209"/>
      <c r="O31" s="58"/>
      <c r="P31" s="58"/>
      <c r="Q31" s="130"/>
      <c r="R31" s="131"/>
      <c r="S31" s="58"/>
      <c r="T31" s="58"/>
      <c r="U31" s="130"/>
      <c r="V31" s="131"/>
      <c r="W31" s="58"/>
      <c r="X31" s="58"/>
      <c r="Y31" s="130"/>
      <c r="Z31" s="131"/>
      <c r="AA31" s="58"/>
      <c r="AB31" s="58"/>
      <c r="AC31" s="130"/>
      <c r="AD31" s="131"/>
    </row>
    <row r="32" spans="1:30" ht="12.75">
      <c r="A32" s="57"/>
      <c r="B32" s="57"/>
      <c r="C32" s="205"/>
      <c r="D32" s="38"/>
      <c r="E32" s="210"/>
      <c r="F32" s="211"/>
      <c r="G32" s="58"/>
      <c r="H32" s="58"/>
      <c r="I32" s="130"/>
      <c r="J32" s="131"/>
      <c r="K32" s="202"/>
      <c r="L32" s="202"/>
      <c r="M32" s="144"/>
      <c r="N32" s="209"/>
      <c r="O32" s="58"/>
      <c r="P32" s="58"/>
      <c r="Q32" s="58"/>
      <c r="R32" s="58"/>
      <c r="S32" s="58"/>
      <c r="T32" s="58"/>
      <c r="U32" s="130"/>
      <c r="V32" s="131"/>
      <c r="W32" s="58"/>
      <c r="X32" s="58"/>
      <c r="Y32" s="130"/>
      <c r="Z32" s="131"/>
      <c r="AA32" s="58"/>
      <c r="AB32" s="58"/>
      <c r="AC32" s="130"/>
      <c r="AD32" s="131"/>
    </row>
    <row r="33" spans="1:30" ht="30" customHeight="1">
      <c r="A33" s="57"/>
      <c r="B33" s="57"/>
      <c r="C33" s="205"/>
      <c r="D33" s="38"/>
      <c r="E33" s="210"/>
      <c r="F33" s="211"/>
      <c r="G33" s="58"/>
      <c r="H33" s="58"/>
      <c r="I33" s="58"/>
      <c r="J33" s="58"/>
      <c r="K33" s="202"/>
      <c r="L33" s="202"/>
      <c r="M33" s="144"/>
      <c r="N33" s="209"/>
      <c r="O33" s="58"/>
      <c r="P33" s="58"/>
      <c r="Q33" s="58"/>
      <c r="R33" s="58"/>
      <c r="S33" s="58"/>
      <c r="T33" s="58"/>
      <c r="U33" s="130"/>
      <c r="V33" s="131"/>
      <c r="W33" s="58"/>
      <c r="X33" s="58"/>
      <c r="Y33" s="130"/>
      <c r="Z33" s="131"/>
      <c r="AA33" s="58"/>
      <c r="AB33" s="58"/>
      <c r="AC33" s="130"/>
      <c r="AD33" s="131"/>
    </row>
    <row r="34" spans="1:30" ht="25.5" customHeight="1">
      <c r="A34" s="57"/>
      <c r="B34" s="57"/>
      <c r="C34" s="205"/>
      <c r="D34" s="38"/>
      <c r="E34" s="210"/>
      <c r="F34" s="211"/>
      <c r="G34" s="58"/>
      <c r="H34" s="58"/>
      <c r="I34" s="130"/>
      <c r="J34" s="131"/>
      <c r="K34" s="202"/>
      <c r="L34" s="202"/>
      <c r="M34" s="144"/>
      <c r="N34" s="209"/>
      <c r="O34" s="58"/>
      <c r="P34" s="58"/>
      <c r="Q34" s="58"/>
      <c r="R34" s="58"/>
      <c r="S34" s="58"/>
      <c r="T34" s="58"/>
      <c r="U34" s="130"/>
      <c r="V34" s="131"/>
      <c r="W34" s="58"/>
      <c r="X34" s="58"/>
      <c r="Y34" s="130"/>
      <c r="Z34" s="131"/>
      <c r="AA34" s="58"/>
      <c r="AB34" s="58"/>
      <c r="AC34" s="130"/>
      <c r="AD34" s="131"/>
    </row>
    <row r="35" spans="1:30" ht="21" customHeight="1">
      <c r="A35" s="57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58"/>
      <c r="O35" s="58"/>
      <c r="P35" s="130"/>
      <c r="Q35" s="131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</row>
    <row r="36" spans="1:30" ht="23.25" customHeight="1">
      <c r="A36" s="57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58"/>
      <c r="O36" s="58"/>
      <c r="P36" s="130"/>
      <c r="Q36" s="131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</row>
    <row r="37" spans="1:30" ht="12.7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</row>
  </sheetData>
  <mergeCells count="20">
    <mergeCell ref="AA23:AD24"/>
    <mergeCell ref="AB1:AC1"/>
    <mergeCell ref="F7:I8"/>
    <mergeCell ref="N7:Q8"/>
    <mergeCell ref="A4:AA4"/>
    <mergeCell ref="A8:A9"/>
    <mergeCell ref="R7:U8"/>
    <mergeCell ref="V7:Y8"/>
    <mergeCell ref="Z7:AC8"/>
    <mergeCell ref="J7:M8"/>
    <mergeCell ref="A2:AC3"/>
    <mergeCell ref="K23:N24"/>
    <mergeCell ref="B24:B25"/>
    <mergeCell ref="A26:A27"/>
    <mergeCell ref="B7:E8"/>
    <mergeCell ref="C23:F24"/>
    <mergeCell ref="G23:J24"/>
    <mergeCell ref="O23:R24"/>
    <mergeCell ref="S23:V24"/>
    <mergeCell ref="W23:Z24"/>
  </mergeCells>
  <printOptions/>
  <pageMargins left="0.3" right="0" top="0.5905511811023623" bottom="0.7874015748031497" header="0.5118110236220472" footer="0.5118110236220472"/>
  <pageSetup horizontalDpi="600" verticalDpi="600" orientation="landscape" paperSize="9" scale="95" r:id="rId2"/>
  <rowBreaks count="1" manualBreakCount="1">
    <brk id="21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SheetLayoutView="100" workbookViewId="0" topLeftCell="A1">
      <pane xSplit="1" ySplit="4" topLeftCell="O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22" sqref="AA22"/>
    </sheetView>
  </sheetViews>
  <sheetFormatPr defaultColWidth="9.00390625" defaultRowHeight="12.75"/>
  <cols>
    <col min="1" max="1" width="9.875" style="1" customWidth="1"/>
    <col min="2" max="2" width="9.00390625" style="1" customWidth="1"/>
    <col min="3" max="3" width="9.125" style="1" customWidth="1"/>
    <col min="4" max="4" width="5.875" style="1" customWidth="1"/>
    <col min="5" max="5" width="7.125" style="1" customWidth="1"/>
    <col min="6" max="6" width="9.25390625" style="1" hidden="1" customWidth="1"/>
    <col min="7" max="7" width="9.125" style="1" hidden="1" customWidth="1"/>
    <col min="8" max="8" width="5.625" style="1" hidden="1" customWidth="1"/>
    <col min="9" max="9" width="6.75390625" style="1" hidden="1" customWidth="1"/>
    <col min="10" max="10" width="9.375" style="1" hidden="1" customWidth="1"/>
    <col min="11" max="11" width="9.00390625" style="1" hidden="1" customWidth="1"/>
    <col min="12" max="12" width="6.75390625" style="1" hidden="1" customWidth="1"/>
    <col min="13" max="13" width="6.875" style="1" hidden="1" customWidth="1"/>
    <col min="14" max="14" width="9.00390625" style="1" customWidth="1"/>
    <col min="15" max="15" width="9.25390625" style="1" customWidth="1"/>
    <col min="16" max="16" width="6.00390625" style="1" customWidth="1"/>
    <col min="17" max="17" width="6.875" style="1" customWidth="1"/>
    <col min="18" max="19" width="9.00390625" style="1" customWidth="1"/>
    <col min="20" max="20" width="6.125" style="1" customWidth="1"/>
    <col min="21" max="21" width="7.00390625" style="1" customWidth="1"/>
    <col min="22" max="22" width="9.125" style="1" customWidth="1"/>
    <col min="23" max="23" width="9.00390625" style="1" customWidth="1"/>
    <col min="24" max="24" width="6.625" style="1" customWidth="1"/>
    <col min="25" max="25" width="7.75390625" style="1" customWidth="1"/>
    <col min="26" max="16384" width="9.125" style="1" customWidth="1"/>
  </cols>
  <sheetData>
    <row r="1" spans="27:29" ht="12.75">
      <c r="AA1" s="277" t="s">
        <v>37</v>
      </c>
      <c r="AB1" s="277"/>
      <c r="AC1" s="277"/>
    </row>
    <row r="2" spans="1:29" ht="36.75" customHeight="1">
      <c r="A2" s="278" t="s">
        <v>142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</row>
    <row r="3" spans="1:28" ht="19.5" customHeight="1">
      <c r="A3" s="95"/>
      <c r="B3" s="278" t="s">
        <v>263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</row>
    <row r="4" ht="13.5" thickBot="1"/>
    <row r="5" spans="1:29" ht="15" customHeight="1">
      <c r="A5" s="22" t="s">
        <v>0</v>
      </c>
      <c r="B5" s="253" t="s">
        <v>1</v>
      </c>
      <c r="C5" s="254"/>
      <c r="D5" s="254"/>
      <c r="E5" s="255"/>
      <c r="F5" s="279" t="s">
        <v>116</v>
      </c>
      <c r="G5" s="280"/>
      <c r="H5" s="280"/>
      <c r="I5" s="281"/>
      <c r="J5" s="271" t="s">
        <v>133</v>
      </c>
      <c r="K5" s="272"/>
      <c r="L5" s="272"/>
      <c r="M5" s="273"/>
      <c r="N5" s="271" t="s">
        <v>89</v>
      </c>
      <c r="O5" s="272"/>
      <c r="P5" s="272"/>
      <c r="Q5" s="273"/>
      <c r="R5" s="271" t="s">
        <v>169</v>
      </c>
      <c r="S5" s="272"/>
      <c r="T5" s="272"/>
      <c r="U5" s="273"/>
      <c r="V5" s="271" t="s">
        <v>3</v>
      </c>
      <c r="W5" s="272"/>
      <c r="X5" s="272"/>
      <c r="Y5" s="273"/>
      <c r="Z5" s="271" t="s">
        <v>14</v>
      </c>
      <c r="AA5" s="272"/>
      <c r="AB5" s="272"/>
      <c r="AC5" s="273"/>
    </row>
    <row r="6" spans="1:29" ht="12.75">
      <c r="A6" s="249" t="s">
        <v>4</v>
      </c>
      <c r="B6" s="256"/>
      <c r="C6" s="257"/>
      <c r="D6" s="257"/>
      <c r="E6" s="258"/>
      <c r="F6" s="282"/>
      <c r="G6" s="283"/>
      <c r="H6" s="283"/>
      <c r="I6" s="284"/>
      <c r="J6" s="274"/>
      <c r="K6" s="275"/>
      <c r="L6" s="275"/>
      <c r="M6" s="276"/>
      <c r="N6" s="274"/>
      <c r="O6" s="275"/>
      <c r="P6" s="275"/>
      <c r="Q6" s="276"/>
      <c r="R6" s="274"/>
      <c r="S6" s="275"/>
      <c r="T6" s="275"/>
      <c r="U6" s="276"/>
      <c r="V6" s="274"/>
      <c r="W6" s="275"/>
      <c r="X6" s="275"/>
      <c r="Y6" s="276"/>
      <c r="Z6" s="274"/>
      <c r="AA6" s="275"/>
      <c r="AB6" s="275"/>
      <c r="AC6" s="276"/>
    </row>
    <row r="7" spans="1:29" ht="45">
      <c r="A7" s="241"/>
      <c r="B7" s="7" t="s">
        <v>181</v>
      </c>
      <c r="C7" s="7" t="s">
        <v>264</v>
      </c>
      <c r="D7" s="7" t="s">
        <v>5</v>
      </c>
      <c r="E7" s="27" t="s">
        <v>81</v>
      </c>
      <c r="F7" s="7" t="s">
        <v>182</v>
      </c>
      <c r="G7" s="7" t="s">
        <v>265</v>
      </c>
      <c r="H7" s="50" t="s">
        <v>5</v>
      </c>
      <c r="I7" s="51" t="s">
        <v>82</v>
      </c>
      <c r="J7" s="7" t="s">
        <v>182</v>
      </c>
      <c r="K7" s="7" t="s">
        <v>265</v>
      </c>
      <c r="L7" s="50" t="s">
        <v>5</v>
      </c>
      <c r="M7" s="51" t="s">
        <v>82</v>
      </c>
      <c r="N7" s="7" t="s">
        <v>183</v>
      </c>
      <c r="O7" s="7" t="s">
        <v>273</v>
      </c>
      <c r="P7" s="50" t="s">
        <v>5</v>
      </c>
      <c r="Q7" s="51" t="s">
        <v>88</v>
      </c>
      <c r="R7" s="50" t="s">
        <v>182</v>
      </c>
      <c r="S7" s="50" t="s">
        <v>265</v>
      </c>
      <c r="T7" s="50" t="s">
        <v>5</v>
      </c>
      <c r="U7" s="51" t="s">
        <v>82</v>
      </c>
      <c r="V7" s="50" t="s">
        <v>182</v>
      </c>
      <c r="W7" s="50" t="s">
        <v>265</v>
      </c>
      <c r="X7" s="50" t="s">
        <v>5</v>
      </c>
      <c r="Y7" s="51" t="s">
        <v>82</v>
      </c>
      <c r="Z7" s="7" t="s">
        <v>184</v>
      </c>
      <c r="AA7" s="7" t="s">
        <v>276</v>
      </c>
      <c r="AB7" s="50" t="s">
        <v>5</v>
      </c>
      <c r="AC7" s="51" t="s">
        <v>83</v>
      </c>
    </row>
    <row r="8" spans="1:29" ht="12.75">
      <c r="A8" s="24">
        <v>1</v>
      </c>
      <c r="B8" s="156">
        <v>2</v>
      </c>
      <c r="C8" s="3">
        <v>3</v>
      </c>
      <c r="D8" s="3">
        <v>4</v>
      </c>
      <c r="E8" s="37">
        <v>5</v>
      </c>
      <c r="F8" s="83">
        <v>6</v>
      </c>
      <c r="G8" s="84">
        <v>7</v>
      </c>
      <c r="H8" s="84">
        <v>8</v>
      </c>
      <c r="I8" s="85">
        <v>9</v>
      </c>
      <c r="J8" s="88">
        <v>10</v>
      </c>
      <c r="K8" s="42">
        <v>11</v>
      </c>
      <c r="L8" s="42">
        <v>12</v>
      </c>
      <c r="M8" s="43">
        <v>13</v>
      </c>
      <c r="N8" s="88">
        <v>14</v>
      </c>
      <c r="O8" s="42">
        <v>15</v>
      </c>
      <c r="P8" s="42">
        <v>16</v>
      </c>
      <c r="Q8" s="43">
        <v>17</v>
      </c>
      <c r="R8" s="42">
        <v>18</v>
      </c>
      <c r="S8" s="42">
        <v>19</v>
      </c>
      <c r="T8" s="42">
        <v>20</v>
      </c>
      <c r="U8" s="43">
        <v>21</v>
      </c>
      <c r="V8" s="42">
        <v>22</v>
      </c>
      <c r="W8" s="42">
        <v>23</v>
      </c>
      <c r="X8" s="42">
        <v>24</v>
      </c>
      <c r="Y8" s="43">
        <v>25</v>
      </c>
      <c r="Z8" s="88">
        <v>26</v>
      </c>
      <c r="AA8" s="42">
        <v>27</v>
      </c>
      <c r="AB8" s="42">
        <v>28</v>
      </c>
      <c r="AC8" s="43">
        <v>29</v>
      </c>
    </row>
    <row r="9" spans="1:29" s="6" customFormat="1" ht="26.25" customHeight="1">
      <c r="A9" s="78" t="s">
        <v>6</v>
      </c>
      <c r="B9" s="190">
        <v>18</v>
      </c>
      <c r="C9" s="116">
        <v>18</v>
      </c>
      <c r="D9" s="117">
        <f>C9/B9*100</f>
        <v>100</v>
      </c>
      <c r="E9" s="118">
        <f>C9-B9</f>
        <v>0</v>
      </c>
      <c r="F9" s="97" t="s">
        <v>118</v>
      </c>
      <c r="G9" s="97" t="s">
        <v>272</v>
      </c>
      <c r="H9" s="91">
        <f>(0.1/0.12)*100</f>
        <v>83.33333333333334</v>
      </c>
      <c r="I9" s="225">
        <f>0.1-0.12</f>
        <v>-0.01999999999999999</v>
      </c>
      <c r="J9" s="142">
        <v>0.12</v>
      </c>
      <c r="K9" s="133">
        <v>0.1</v>
      </c>
      <c r="L9" s="80">
        <f>(0.1/0.12)*100</f>
        <v>83.33333333333334</v>
      </c>
      <c r="M9" s="227">
        <f>0.1-0.12</f>
        <v>-0.01999999999999999</v>
      </c>
      <c r="N9" s="137" t="s">
        <v>84</v>
      </c>
      <c r="O9" s="115" t="s">
        <v>84</v>
      </c>
      <c r="P9" s="80">
        <v>100</v>
      </c>
      <c r="Q9" s="81">
        <v>0</v>
      </c>
      <c r="R9" s="74" t="s">
        <v>46</v>
      </c>
      <c r="S9" s="74" t="s">
        <v>46</v>
      </c>
      <c r="T9" s="80">
        <v>100</v>
      </c>
      <c r="U9" s="81">
        <v>0</v>
      </c>
      <c r="V9" s="82" t="s">
        <v>46</v>
      </c>
      <c r="W9" s="82" t="s">
        <v>46</v>
      </c>
      <c r="X9" s="80">
        <v>100</v>
      </c>
      <c r="Y9" s="81">
        <v>0</v>
      </c>
      <c r="Z9" s="137" t="s">
        <v>43</v>
      </c>
      <c r="AA9" s="115" t="s">
        <v>43</v>
      </c>
      <c r="AB9" s="80">
        <v>100</v>
      </c>
      <c r="AC9" s="81">
        <v>0</v>
      </c>
    </row>
    <row r="10" spans="1:29" s="6" customFormat="1" ht="26.25" customHeight="1">
      <c r="A10" s="25" t="s">
        <v>7</v>
      </c>
      <c r="B10" s="191">
        <v>18</v>
      </c>
      <c r="C10" s="4">
        <v>18</v>
      </c>
      <c r="D10" s="32">
        <f aca="true" t="shared" si="0" ref="D10:D16">C10/B10*100</f>
        <v>100</v>
      </c>
      <c r="E10" s="33">
        <f aca="true" t="shared" si="1" ref="E10:E16">C10-B10</f>
        <v>0</v>
      </c>
      <c r="F10" s="86" t="s">
        <v>119</v>
      </c>
      <c r="G10" s="86" t="s">
        <v>269</v>
      </c>
      <c r="H10" s="91">
        <v>100</v>
      </c>
      <c r="I10" s="92">
        <v>0</v>
      </c>
      <c r="J10" s="89" t="s">
        <v>131</v>
      </c>
      <c r="K10" s="36" t="s">
        <v>131</v>
      </c>
      <c r="L10" s="36" t="s">
        <v>131</v>
      </c>
      <c r="M10" s="124" t="s">
        <v>131</v>
      </c>
      <c r="N10" s="138" t="s">
        <v>68</v>
      </c>
      <c r="O10" s="52" t="s">
        <v>68</v>
      </c>
      <c r="P10" s="44">
        <v>100</v>
      </c>
      <c r="Q10" s="45">
        <v>0</v>
      </c>
      <c r="R10" s="36" t="s">
        <v>70</v>
      </c>
      <c r="S10" s="36" t="s">
        <v>70</v>
      </c>
      <c r="T10" s="44">
        <v>100</v>
      </c>
      <c r="U10" s="45">
        <v>0</v>
      </c>
      <c r="V10" s="36" t="s">
        <v>70</v>
      </c>
      <c r="W10" s="36" t="s">
        <v>70</v>
      </c>
      <c r="X10" s="44">
        <v>100</v>
      </c>
      <c r="Y10" s="45">
        <v>0</v>
      </c>
      <c r="Z10" s="138" t="s">
        <v>72</v>
      </c>
      <c r="AA10" s="52" t="s">
        <v>72</v>
      </c>
      <c r="AB10" s="44">
        <v>100</v>
      </c>
      <c r="AC10" s="45">
        <v>0</v>
      </c>
    </row>
    <row r="11" spans="1:29" s="6" customFormat="1" ht="26.25" customHeight="1">
      <c r="A11" s="25" t="s">
        <v>8</v>
      </c>
      <c r="B11" s="191">
        <v>18</v>
      </c>
      <c r="C11" s="4">
        <v>18</v>
      </c>
      <c r="D11" s="32">
        <f t="shared" si="0"/>
        <v>100</v>
      </c>
      <c r="E11" s="33">
        <f t="shared" si="1"/>
        <v>0</v>
      </c>
      <c r="F11" s="86" t="s">
        <v>122</v>
      </c>
      <c r="G11" s="86" t="s">
        <v>270</v>
      </c>
      <c r="H11" s="91">
        <v>100</v>
      </c>
      <c r="I11" s="92">
        <v>0</v>
      </c>
      <c r="J11" s="89" t="s">
        <v>131</v>
      </c>
      <c r="K11" s="36" t="s">
        <v>131</v>
      </c>
      <c r="L11" s="36" t="s">
        <v>131</v>
      </c>
      <c r="M11" s="124" t="s">
        <v>131</v>
      </c>
      <c r="N11" s="138" t="s">
        <v>67</v>
      </c>
      <c r="O11" s="52" t="s">
        <v>67</v>
      </c>
      <c r="P11" s="44">
        <v>100</v>
      </c>
      <c r="Q11" s="45">
        <v>0</v>
      </c>
      <c r="R11" s="36" t="s">
        <v>114</v>
      </c>
      <c r="S11" s="36" t="s">
        <v>339</v>
      </c>
      <c r="T11" s="44">
        <v>100</v>
      </c>
      <c r="U11" s="45">
        <v>0</v>
      </c>
      <c r="V11" s="36" t="s">
        <v>47</v>
      </c>
      <c r="W11" s="36" t="s">
        <v>47</v>
      </c>
      <c r="X11" s="44">
        <v>100</v>
      </c>
      <c r="Y11" s="45">
        <v>0</v>
      </c>
      <c r="Z11" s="139" t="s">
        <v>219</v>
      </c>
      <c r="AA11" s="54" t="s">
        <v>219</v>
      </c>
      <c r="AB11" s="44">
        <v>100</v>
      </c>
      <c r="AC11" s="45">
        <v>0</v>
      </c>
    </row>
    <row r="12" spans="1:29" s="6" customFormat="1" ht="26.25" customHeight="1">
      <c r="A12" s="25" t="s">
        <v>9</v>
      </c>
      <c r="B12" s="191">
        <v>18</v>
      </c>
      <c r="C12" s="4">
        <v>18</v>
      </c>
      <c r="D12" s="32">
        <f t="shared" si="0"/>
        <v>100</v>
      </c>
      <c r="E12" s="33">
        <f t="shared" si="1"/>
        <v>0</v>
      </c>
      <c r="F12" s="86" t="s">
        <v>120</v>
      </c>
      <c r="G12" s="86" t="s">
        <v>268</v>
      </c>
      <c r="H12" s="91">
        <v>100</v>
      </c>
      <c r="I12" s="92">
        <v>0</v>
      </c>
      <c r="J12" s="89" t="s">
        <v>131</v>
      </c>
      <c r="K12" s="36" t="s">
        <v>131</v>
      </c>
      <c r="L12" s="36" t="s">
        <v>131</v>
      </c>
      <c r="M12" s="124" t="s">
        <v>131</v>
      </c>
      <c r="N12" s="138" t="s">
        <v>67</v>
      </c>
      <c r="O12" s="52" t="s">
        <v>67</v>
      </c>
      <c r="P12" s="44">
        <v>100</v>
      </c>
      <c r="Q12" s="45">
        <v>0</v>
      </c>
      <c r="R12" s="36" t="s">
        <v>115</v>
      </c>
      <c r="S12" s="36" t="s">
        <v>115</v>
      </c>
      <c r="T12" s="44">
        <v>100</v>
      </c>
      <c r="U12" s="45">
        <v>0</v>
      </c>
      <c r="V12" s="36" t="s">
        <v>48</v>
      </c>
      <c r="W12" s="36" t="s">
        <v>48</v>
      </c>
      <c r="X12" s="44">
        <v>100</v>
      </c>
      <c r="Y12" s="45">
        <v>0</v>
      </c>
      <c r="Z12" s="138" t="s">
        <v>39</v>
      </c>
      <c r="AA12" s="52" t="s">
        <v>348</v>
      </c>
      <c r="AB12" s="44">
        <v>100</v>
      </c>
      <c r="AC12" s="45">
        <v>0</v>
      </c>
    </row>
    <row r="13" spans="1:29" s="6" customFormat="1" ht="26.25" customHeight="1">
      <c r="A13" s="25" t="s">
        <v>10</v>
      </c>
      <c r="B13" s="191">
        <v>18</v>
      </c>
      <c r="C13" s="4">
        <v>18</v>
      </c>
      <c r="D13" s="32">
        <f t="shared" si="0"/>
        <v>100</v>
      </c>
      <c r="E13" s="33">
        <f t="shared" si="1"/>
        <v>0</v>
      </c>
      <c r="F13" s="86" t="s">
        <v>119</v>
      </c>
      <c r="G13" s="86" t="s">
        <v>269</v>
      </c>
      <c r="H13" s="91">
        <v>100</v>
      </c>
      <c r="I13" s="92">
        <v>0</v>
      </c>
      <c r="J13" s="138">
        <v>0.125</v>
      </c>
      <c r="K13" s="52">
        <v>0.125</v>
      </c>
      <c r="L13" s="44">
        <v>100</v>
      </c>
      <c r="M13" s="45">
        <v>0</v>
      </c>
      <c r="N13" s="138" t="s">
        <v>66</v>
      </c>
      <c r="O13" s="52" t="s">
        <v>274</v>
      </c>
      <c r="P13" s="44">
        <v>100</v>
      </c>
      <c r="Q13" s="45">
        <v>0</v>
      </c>
      <c r="R13" s="36" t="s">
        <v>49</v>
      </c>
      <c r="S13" s="36" t="s">
        <v>49</v>
      </c>
      <c r="T13" s="44">
        <v>100</v>
      </c>
      <c r="U13" s="45">
        <v>0</v>
      </c>
      <c r="V13" s="36" t="s">
        <v>49</v>
      </c>
      <c r="W13" s="36" t="s">
        <v>49</v>
      </c>
      <c r="X13" s="44">
        <v>100</v>
      </c>
      <c r="Y13" s="45">
        <v>0</v>
      </c>
      <c r="Z13" s="138" t="s">
        <v>73</v>
      </c>
      <c r="AA13" s="52" t="s">
        <v>73</v>
      </c>
      <c r="AB13" s="44">
        <v>100</v>
      </c>
      <c r="AC13" s="45">
        <v>0</v>
      </c>
    </row>
    <row r="14" spans="1:29" s="6" customFormat="1" ht="26.25" customHeight="1">
      <c r="A14" s="25" t="s">
        <v>11</v>
      </c>
      <c r="B14" s="191">
        <v>18</v>
      </c>
      <c r="C14" s="4">
        <v>18</v>
      </c>
      <c r="D14" s="32">
        <f t="shared" si="0"/>
        <v>100</v>
      </c>
      <c r="E14" s="33">
        <f t="shared" si="1"/>
        <v>0</v>
      </c>
      <c r="F14" s="86" t="s">
        <v>119</v>
      </c>
      <c r="G14" s="86" t="s">
        <v>269</v>
      </c>
      <c r="H14" s="91">
        <v>100</v>
      </c>
      <c r="I14" s="92">
        <v>0</v>
      </c>
      <c r="J14" s="89" t="s">
        <v>131</v>
      </c>
      <c r="K14" s="36" t="s">
        <v>131</v>
      </c>
      <c r="L14" s="36" t="s">
        <v>131</v>
      </c>
      <c r="M14" s="124" t="s">
        <v>131</v>
      </c>
      <c r="N14" s="138" t="s">
        <v>67</v>
      </c>
      <c r="O14" s="52" t="s">
        <v>67</v>
      </c>
      <c r="P14" s="44">
        <v>100</v>
      </c>
      <c r="Q14" s="45">
        <v>0</v>
      </c>
      <c r="R14" s="36" t="s">
        <v>52</v>
      </c>
      <c r="S14" s="36" t="s">
        <v>52</v>
      </c>
      <c r="T14" s="44">
        <v>100</v>
      </c>
      <c r="U14" s="45">
        <v>0</v>
      </c>
      <c r="V14" s="36" t="s">
        <v>50</v>
      </c>
      <c r="W14" s="36" t="s">
        <v>50</v>
      </c>
      <c r="X14" s="44">
        <v>100</v>
      </c>
      <c r="Y14" s="45">
        <v>0</v>
      </c>
      <c r="Z14" s="138" t="s">
        <v>40</v>
      </c>
      <c r="AA14" s="52" t="s">
        <v>40</v>
      </c>
      <c r="AB14" s="44">
        <v>100</v>
      </c>
      <c r="AC14" s="45">
        <v>0</v>
      </c>
    </row>
    <row r="15" spans="1:29" s="6" customFormat="1" ht="26.25" customHeight="1">
      <c r="A15" s="25" t="s">
        <v>12</v>
      </c>
      <c r="B15" s="191">
        <v>18</v>
      </c>
      <c r="C15" s="4">
        <v>18</v>
      </c>
      <c r="D15" s="32">
        <f t="shared" si="0"/>
        <v>100</v>
      </c>
      <c r="E15" s="33">
        <f t="shared" si="1"/>
        <v>0</v>
      </c>
      <c r="F15" s="86" t="s">
        <v>121</v>
      </c>
      <c r="G15" s="86" t="s">
        <v>238</v>
      </c>
      <c r="H15" s="91" t="s">
        <v>238</v>
      </c>
      <c r="I15" s="92" t="s">
        <v>238</v>
      </c>
      <c r="J15" s="89" t="s">
        <v>131</v>
      </c>
      <c r="K15" s="36" t="s">
        <v>131</v>
      </c>
      <c r="L15" s="36" t="s">
        <v>131</v>
      </c>
      <c r="M15" s="124" t="s">
        <v>131</v>
      </c>
      <c r="N15" s="138" t="s">
        <v>65</v>
      </c>
      <c r="O15" s="52" t="s">
        <v>275</v>
      </c>
      <c r="P15" s="44">
        <f>(0.027/0.03)*100</f>
        <v>90</v>
      </c>
      <c r="Q15" s="226">
        <f>0.027-0.03</f>
        <v>-0.002999999999999999</v>
      </c>
      <c r="R15" s="36" t="s">
        <v>71</v>
      </c>
      <c r="S15" s="36" t="s">
        <v>340</v>
      </c>
      <c r="T15" s="44">
        <v>100</v>
      </c>
      <c r="U15" s="45">
        <v>0</v>
      </c>
      <c r="V15" s="36" t="s">
        <v>71</v>
      </c>
      <c r="W15" s="36" t="s">
        <v>71</v>
      </c>
      <c r="X15" s="44">
        <v>100</v>
      </c>
      <c r="Y15" s="45">
        <v>0</v>
      </c>
      <c r="Z15" s="138" t="s">
        <v>74</v>
      </c>
      <c r="AA15" s="52" t="s">
        <v>341</v>
      </c>
      <c r="AB15" s="44" t="s">
        <v>238</v>
      </c>
      <c r="AC15" s="45" t="s">
        <v>238</v>
      </c>
    </row>
    <row r="16" spans="1:29" s="6" customFormat="1" ht="26.25" customHeight="1" thickBot="1">
      <c r="A16" s="26" t="s">
        <v>13</v>
      </c>
      <c r="B16" s="192">
        <v>18</v>
      </c>
      <c r="C16" s="20">
        <v>18</v>
      </c>
      <c r="D16" s="34">
        <f t="shared" si="0"/>
        <v>100</v>
      </c>
      <c r="E16" s="35">
        <f t="shared" si="1"/>
        <v>0</v>
      </c>
      <c r="F16" s="87" t="s">
        <v>123</v>
      </c>
      <c r="G16" s="87" t="s">
        <v>271</v>
      </c>
      <c r="H16" s="93">
        <f>(0.103/0.104)*100</f>
        <v>99.03846153846155</v>
      </c>
      <c r="I16" s="94">
        <f>0.103-0.104</f>
        <v>-0.0010000000000000009</v>
      </c>
      <c r="J16" s="90" t="s">
        <v>131</v>
      </c>
      <c r="K16" s="46" t="s">
        <v>131</v>
      </c>
      <c r="L16" s="46" t="s">
        <v>131</v>
      </c>
      <c r="M16" s="125" t="s">
        <v>131</v>
      </c>
      <c r="N16" s="140" t="s">
        <v>69</v>
      </c>
      <c r="O16" s="53" t="s">
        <v>69</v>
      </c>
      <c r="P16" s="47">
        <v>100</v>
      </c>
      <c r="Q16" s="48">
        <v>0</v>
      </c>
      <c r="R16" s="46" t="s">
        <v>51</v>
      </c>
      <c r="S16" s="46" t="s">
        <v>51</v>
      </c>
      <c r="T16" s="47">
        <v>100</v>
      </c>
      <c r="U16" s="48">
        <v>0</v>
      </c>
      <c r="V16" s="46" t="s">
        <v>51</v>
      </c>
      <c r="W16" s="46" t="s">
        <v>51</v>
      </c>
      <c r="X16" s="47">
        <v>100</v>
      </c>
      <c r="Y16" s="48">
        <v>0</v>
      </c>
      <c r="Z16" s="140" t="s">
        <v>75</v>
      </c>
      <c r="AA16" s="53" t="s">
        <v>349</v>
      </c>
      <c r="AB16" s="47">
        <v>100</v>
      </c>
      <c r="AC16" s="48">
        <v>0</v>
      </c>
    </row>
    <row r="17" ht="12.75">
      <c r="S17" s="64"/>
    </row>
    <row r="18" ht="12.75">
      <c r="A18" s="8" t="s">
        <v>143</v>
      </c>
    </row>
    <row r="19" ht="12.75">
      <c r="A19" s="8"/>
    </row>
    <row r="20" ht="12.75">
      <c r="A20" s="8" t="s">
        <v>337</v>
      </c>
    </row>
    <row r="21" ht="12.75">
      <c r="A21" s="8"/>
    </row>
    <row r="22" ht="12.75">
      <c r="A22" s="8" t="s">
        <v>338</v>
      </c>
    </row>
    <row r="29" spans="1:21" ht="12.75">
      <c r="A29" s="189"/>
      <c r="N29" s="60"/>
      <c r="O29" s="60"/>
      <c r="P29" s="60"/>
      <c r="Q29" s="60"/>
      <c r="R29" s="60"/>
      <c r="S29" s="60"/>
      <c r="T29" s="60"/>
      <c r="U29" s="60"/>
    </row>
    <row r="30" spans="13:20" ht="12.75">
      <c r="M30" s="60"/>
      <c r="N30" s="60"/>
      <c r="O30" s="60"/>
      <c r="P30" s="60"/>
      <c r="Q30" s="60"/>
      <c r="R30" s="60"/>
      <c r="S30" s="60"/>
      <c r="T30" s="60"/>
    </row>
    <row r="31" spans="13:20" ht="12.75">
      <c r="M31" s="134"/>
      <c r="N31" s="134"/>
      <c r="O31" s="134"/>
      <c r="P31" s="134"/>
      <c r="Q31" s="66"/>
      <c r="R31" s="66"/>
      <c r="S31" s="134"/>
      <c r="T31" s="134"/>
    </row>
    <row r="32" spans="1:21" ht="12.75">
      <c r="A32" s="11"/>
      <c r="N32" s="126"/>
      <c r="O32" s="126"/>
      <c r="P32" s="126"/>
      <c r="Q32" s="126"/>
      <c r="R32" s="126"/>
      <c r="S32" s="126"/>
      <c r="T32" s="126"/>
      <c r="U32" s="126"/>
    </row>
    <row r="33" spans="1:21" ht="24.75" customHeight="1">
      <c r="A33" s="181"/>
      <c r="N33" s="127"/>
      <c r="O33" s="127"/>
      <c r="P33" s="128"/>
      <c r="Q33" s="129"/>
      <c r="R33" s="135"/>
      <c r="S33" s="135"/>
      <c r="T33" s="128"/>
      <c r="U33" s="129"/>
    </row>
    <row r="34" spans="1:21" ht="12.75">
      <c r="A34" s="57"/>
      <c r="N34" s="58"/>
      <c r="O34" s="58"/>
      <c r="P34" s="130"/>
      <c r="Q34" s="131"/>
      <c r="R34" s="136"/>
      <c r="S34" s="136"/>
      <c r="T34" s="130"/>
      <c r="U34" s="131"/>
    </row>
    <row r="35" spans="1:21" ht="12.75">
      <c r="A35" s="57"/>
      <c r="N35" s="58"/>
      <c r="O35" s="58"/>
      <c r="P35" s="130"/>
      <c r="Q35" s="131"/>
      <c r="R35" s="59"/>
      <c r="S35" s="59"/>
      <c r="T35" s="130"/>
      <c r="U35" s="131"/>
    </row>
    <row r="36" spans="1:21" ht="12.75">
      <c r="A36" s="57"/>
      <c r="N36" s="58"/>
      <c r="O36" s="58"/>
      <c r="P36" s="130"/>
      <c r="Q36" s="131"/>
      <c r="R36" s="136"/>
      <c r="S36" s="136"/>
      <c r="T36" s="130"/>
      <c r="U36" s="131"/>
    </row>
    <row r="37" spans="1:21" ht="21.75" customHeight="1">
      <c r="A37" s="57"/>
      <c r="N37" s="58"/>
      <c r="O37" s="58"/>
      <c r="P37" s="130"/>
      <c r="Q37" s="131"/>
      <c r="R37" s="136"/>
      <c r="S37" s="136"/>
      <c r="T37" s="130"/>
      <c r="U37" s="131"/>
    </row>
    <row r="38" spans="1:21" ht="20.25" customHeight="1">
      <c r="A38" s="57"/>
      <c r="N38" s="58"/>
      <c r="O38" s="58"/>
      <c r="P38" s="130"/>
      <c r="Q38" s="131"/>
      <c r="R38" s="136"/>
      <c r="S38" s="136"/>
      <c r="T38" s="130"/>
      <c r="U38" s="131"/>
    </row>
    <row r="39" spans="1:21" ht="20.25" customHeight="1">
      <c r="A39" s="57"/>
      <c r="N39" s="58"/>
      <c r="O39" s="58"/>
      <c r="P39" s="130"/>
      <c r="Q39" s="131"/>
      <c r="R39" s="136"/>
      <c r="S39" s="136"/>
      <c r="T39" s="130"/>
      <c r="U39" s="131"/>
    </row>
    <row r="40" spans="1:21" ht="12.75">
      <c r="A40" s="57"/>
      <c r="N40" s="58"/>
      <c r="O40" s="58"/>
      <c r="P40" s="130"/>
      <c r="Q40" s="131"/>
      <c r="R40" s="136"/>
      <c r="S40" s="136"/>
      <c r="T40" s="130"/>
      <c r="U40" s="131"/>
    </row>
    <row r="41" ht="12.75">
      <c r="A41" s="132"/>
    </row>
    <row r="42" ht="12.75">
      <c r="A42" s="132"/>
    </row>
  </sheetData>
  <mergeCells count="11">
    <mergeCell ref="V5:Y6"/>
    <mergeCell ref="Z5:AC6"/>
    <mergeCell ref="AA1:AC1"/>
    <mergeCell ref="B3:AB3"/>
    <mergeCell ref="A2:AC2"/>
    <mergeCell ref="N5:Q6"/>
    <mergeCell ref="R5:U6"/>
    <mergeCell ref="A6:A7"/>
    <mergeCell ref="B5:E6"/>
    <mergeCell ref="F5:I6"/>
    <mergeCell ref="J5:M6"/>
  </mergeCells>
  <printOptions/>
  <pageMargins left="0" right="0" top="0.5905511811023623" bottom="0.7874015748031497" header="0.5118110236220472" footer="0.5118110236220472"/>
  <pageSetup horizontalDpi="600" verticalDpi="600" orientation="landscape" paperSize="9" scale="85" r:id="rId2"/>
  <rowBreaks count="1" manualBreakCount="1">
    <brk id="26" max="2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zoomScaleSheetLayoutView="100" workbookViewId="0" topLeftCell="A1">
      <pane xSplit="1" topLeftCell="B1" activePane="topRight" state="frozen"/>
      <selection pane="topLeft" activeCell="A1" sqref="A1"/>
      <selection pane="topRight" activeCell="A2" sqref="A2:Z2"/>
    </sheetView>
  </sheetViews>
  <sheetFormatPr defaultColWidth="9.00390625" defaultRowHeight="12.75"/>
  <cols>
    <col min="1" max="1" width="15.375" style="1" customWidth="1"/>
    <col min="2" max="3" width="9.375" style="1" customWidth="1"/>
    <col min="4" max="4" width="7.625" style="1" customWidth="1"/>
    <col min="5" max="6" width="9.375" style="1" hidden="1" customWidth="1"/>
    <col min="7" max="7" width="7.75390625" style="1" hidden="1" customWidth="1"/>
    <col min="8" max="9" width="9.375" style="1" hidden="1" customWidth="1"/>
    <col min="10" max="10" width="7.125" style="1" hidden="1" customWidth="1"/>
    <col min="11" max="12" width="9.375" style="1" hidden="1" customWidth="1"/>
    <col min="13" max="13" width="7.625" style="1" hidden="1" customWidth="1"/>
    <col min="14" max="15" width="9.375" style="1" hidden="1" customWidth="1"/>
    <col min="16" max="16" width="7.25390625" style="1" hidden="1" customWidth="1"/>
    <col min="17" max="18" width="9.25390625" style="1" customWidth="1"/>
    <col min="19" max="19" width="8.625" style="1" customWidth="1"/>
    <col min="20" max="21" width="9.25390625" style="1" customWidth="1"/>
    <col min="22" max="22" width="8.625" style="1" customWidth="1"/>
    <col min="23" max="24" width="9.25390625" style="1" customWidth="1"/>
    <col min="25" max="25" width="7.875" style="1" customWidth="1"/>
    <col min="26" max="26" width="9.625" style="1" customWidth="1"/>
    <col min="27" max="27" width="9.25390625" style="1" customWidth="1"/>
    <col min="28" max="28" width="8.625" style="1" customWidth="1"/>
    <col min="29" max="16384" width="9.125" style="1" customWidth="1"/>
  </cols>
  <sheetData>
    <row r="1" spans="14:28" ht="12.75">
      <c r="N1" s="146"/>
      <c r="O1" s="170" t="s">
        <v>38</v>
      </c>
      <c r="P1" s="170"/>
      <c r="Q1" s="170"/>
      <c r="R1" s="170"/>
      <c r="S1" s="170"/>
      <c r="AA1" s="297" t="s">
        <v>38</v>
      </c>
      <c r="AB1" s="297"/>
    </row>
    <row r="2" spans="1:26" ht="36.75" customHeight="1">
      <c r="A2" s="278" t="s">
        <v>353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</row>
    <row r="3" ht="13.5" thickBot="1"/>
    <row r="4" spans="1:28" ht="15" customHeight="1">
      <c r="A4" s="28" t="s">
        <v>0</v>
      </c>
      <c r="B4" s="291" t="s">
        <v>1</v>
      </c>
      <c r="C4" s="292"/>
      <c r="D4" s="293"/>
      <c r="E4" s="286" t="s">
        <v>144</v>
      </c>
      <c r="F4" s="286"/>
      <c r="G4" s="298"/>
      <c r="H4" s="285" t="s">
        <v>116</v>
      </c>
      <c r="I4" s="286"/>
      <c r="J4" s="286"/>
      <c r="K4" s="253" t="s">
        <v>133</v>
      </c>
      <c r="L4" s="254"/>
      <c r="M4" s="255"/>
      <c r="N4" s="254" t="s">
        <v>14</v>
      </c>
      <c r="O4" s="254"/>
      <c r="P4" s="254"/>
      <c r="Q4" s="254" t="s">
        <v>14</v>
      </c>
      <c r="R4" s="254"/>
      <c r="S4" s="255"/>
      <c r="T4" s="253" t="s">
        <v>2</v>
      </c>
      <c r="U4" s="254"/>
      <c r="V4" s="255"/>
      <c r="W4" s="253" t="s">
        <v>169</v>
      </c>
      <c r="X4" s="254"/>
      <c r="Y4" s="255"/>
      <c r="Z4" s="253" t="s">
        <v>3</v>
      </c>
      <c r="AA4" s="254"/>
      <c r="AB4" s="255"/>
    </row>
    <row r="5" spans="1:28" ht="20.25" customHeight="1">
      <c r="A5" s="289" t="s">
        <v>4</v>
      </c>
      <c r="B5" s="294"/>
      <c r="C5" s="295"/>
      <c r="D5" s="296"/>
      <c r="E5" s="288"/>
      <c r="F5" s="288"/>
      <c r="G5" s="299"/>
      <c r="H5" s="287"/>
      <c r="I5" s="288"/>
      <c r="J5" s="288"/>
      <c r="K5" s="256"/>
      <c r="L5" s="257"/>
      <c r="M5" s="258"/>
      <c r="N5" s="257"/>
      <c r="O5" s="257"/>
      <c r="P5" s="257"/>
      <c r="Q5" s="257"/>
      <c r="R5" s="257"/>
      <c r="S5" s="258"/>
      <c r="T5" s="256"/>
      <c r="U5" s="257"/>
      <c r="V5" s="258"/>
      <c r="W5" s="256"/>
      <c r="X5" s="257"/>
      <c r="Y5" s="258"/>
      <c r="Z5" s="256"/>
      <c r="AA5" s="257"/>
      <c r="AB5" s="258"/>
    </row>
    <row r="6" spans="1:28" ht="77.25" customHeight="1">
      <c r="A6" s="290"/>
      <c r="B6" s="229" t="s">
        <v>278</v>
      </c>
      <c r="C6" s="7" t="s">
        <v>277</v>
      </c>
      <c r="D6" s="27" t="s">
        <v>24</v>
      </c>
      <c r="E6" s="141" t="s">
        <v>278</v>
      </c>
      <c r="F6" s="7" t="s">
        <v>277</v>
      </c>
      <c r="G6" s="27" t="s">
        <v>24</v>
      </c>
      <c r="H6" s="7" t="s">
        <v>278</v>
      </c>
      <c r="I6" s="7" t="s">
        <v>277</v>
      </c>
      <c r="J6" s="27" t="s">
        <v>24</v>
      </c>
      <c r="K6" s="7" t="s">
        <v>278</v>
      </c>
      <c r="L6" s="7" t="s">
        <v>277</v>
      </c>
      <c r="M6" s="27" t="s">
        <v>24</v>
      </c>
      <c r="N6" s="141" t="s">
        <v>42</v>
      </c>
      <c r="O6" s="7" t="s">
        <v>44</v>
      </c>
      <c r="P6" s="101" t="s">
        <v>24</v>
      </c>
      <c r="Q6" s="7" t="s">
        <v>278</v>
      </c>
      <c r="R6" s="7" t="s">
        <v>277</v>
      </c>
      <c r="S6" s="27" t="s">
        <v>24</v>
      </c>
      <c r="T6" s="7" t="s">
        <v>278</v>
      </c>
      <c r="U6" s="7" t="s">
        <v>277</v>
      </c>
      <c r="V6" s="27" t="s">
        <v>24</v>
      </c>
      <c r="W6" s="7" t="s">
        <v>278</v>
      </c>
      <c r="X6" s="7" t="s">
        <v>277</v>
      </c>
      <c r="Y6" s="27" t="s">
        <v>24</v>
      </c>
      <c r="Z6" s="7" t="s">
        <v>278</v>
      </c>
      <c r="AA6" s="7" t="s">
        <v>277</v>
      </c>
      <c r="AB6" s="27" t="s">
        <v>24</v>
      </c>
    </row>
    <row r="7" spans="1:28" ht="12.75">
      <c r="A7" s="29">
        <v>1</v>
      </c>
      <c r="B7" s="156">
        <v>2</v>
      </c>
      <c r="C7" s="3">
        <v>3</v>
      </c>
      <c r="D7" s="19">
        <v>4</v>
      </c>
      <c r="E7" s="228">
        <v>5</v>
      </c>
      <c r="F7" s="84">
        <v>6</v>
      </c>
      <c r="G7" s="85">
        <v>7</v>
      </c>
      <c r="H7" s="83">
        <v>8</v>
      </c>
      <c r="I7" s="84">
        <v>9</v>
      </c>
      <c r="J7" s="154">
        <v>10</v>
      </c>
      <c r="K7" s="156">
        <v>11</v>
      </c>
      <c r="L7" s="3">
        <v>12</v>
      </c>
      <c r="M7" s="19">
        <v>13</v>
      </c>
      <c r="N7" s="155">
        <v>15</v>
      </c>
      <c r="O7" s="3">
        <v>15</v>
      </c>
      <c r="P7" s="99">
        <v>16</v>
      </c>
      <c r="Q7" s="99">
        <v>5</v>
      </c>
      <c r="R7" s="99">
        <v>6</v>
      </c>
      <c r="S7" s="99">
        <v>7</v>
      </c>
      <c r="T7" s="3">
        <v>8</v>
      </c>
      <c r="U7" s="3">
        <v>9</v>
      </c>
      <c r="V7" s="19">
        <v>10</v>
      </c>
      <c r="W7" s="3">
        <v>11</v>
      </c>
      <c r="X7" s="3">
        <v>12</v>
      </c>
      <c r="Y7" s="19">
        <v>13</v>
      </c>
      <c r="Z7" s="156">
        <v>14</v>
      </c>
      <c r="AA7" s="3">
        <v>15</v>
      </c>
      <c r="AB7" s="19">
        <v>16</v>
      </c>
    </row>
    <row r="8" spans="1:28" s="6" customFormat="1" ht="26.25" customHeight="1">
      <c r="A8" s="169" t="s">
        <v>6</v>
      </c>
      <c r="B8" s="230">
        <v>100</v>
      </c>
      <c r="C8" s="77">
        <v>100</v>
      </c>
      <c r="D8" s="105">
        <f>C8-B8</f>
        <v>0</v>
      </c>
      <c r="E8" s="147">
        <v>100</v>
      </c>
      <c r="F8" s="147">
        <v>100</v>
      </c>
      <c r="G8" s="148">
        <f>F8-E8</f>
        <v>0</v>
      </c>
      <c r="H8" s="98">
        <v>100</v>
      </c>
      <c r="I8" s="98">
        <v>100</v>
      </c>
      <c r="J8" s="151">
        <v>0</v>
      </c>
      <c r="K8" s="157">
        <v>100</v>
      </c>
      <c r="L8" s="106">
        <v>100</v>
      </c>
      <c r="M8" s="105">
        <v>0</v>
      </c>
      <c r="N8" s="152">
        <v>90</v>
      </c>
      <c r="O8" s="5">
        <v>90</v>
      </c>
      <c r="P8" s="100">
        <f aca="true" t="shared" si="0" ref="P8:P15">O8-N8</f>
        <v>0</v>
      </c>
      <c r="Q8" s="232">
        <v>100</v>
      </c>
      <c r="R8" s="232">
        <v>100</v>
      </c>
      <c r="S8" s="232">
        <v>0</v>
      </c>
      <c r="T8" s="106">
        <v>100</v>
      </c>
      <c r="U8" s="106">
        <v>100</v>
      </c>
      <c r="V8" s="105">
        <f>U8-T8</f>
        <v>0</v>
      </c>
      <c r="W8" s="106">
        <v>100</v>
      </c>
      <c r="X8" s="106">
        <v>100</v>
      </c>
      <c r="Y8" s="105">
        <f>X8-W8</f>
        <v>0</v>
      </c>
      <c r="Z8" s="106">
        <v>100</v>
      </c>
      <c r="AA8" s="106">
        <v>100</v>
      </c>
      <c r="AB8" s="105">
        <f>AA8-Z8</f>
        <v>0</v>
      </c>
    </row>
    <row r="9" spans="1:28" s="6" customFormat="1" ht="26.25" customHeight="1">
      <c r="A9" s="30" t="s">
        <v>145</v>
      </c>
      <c r="B9" s="167">
        <v>100</v>
      </c>
      <c r="C9" s="5">
        <v>100</v>
      </c>
      <c r="D9" s="107">
        <f aca="true" t="shared" si="1" ref="D9:D15">C9-B9</f>
        <v>0</v>
      </c>
      <c r="E9" s="147">
        <v>100</v>
      </c>
      <c r="F9" s="147">
        <v>100</v>
      </c>
      <c r="G9" s="148">
        <f>F9-E9</f>
        <v>0</v>
      </c>
      <c r="H9" s="98">
        <v>100</v>
      </c>
      <c r="I9" s="98">
        <v>100</v>
      </c>
      <c r="J9" s="151">
        <f>I9-H9</f>
        <v>0</v>
      </c>
      <c r="K9" s="102" t="s">
        <v>131</v>
      </c>
      <c r="L9" s="98" t="s">
        <v>131</v>
      </c>
      <c r="M9" s="158" t="s">
        <v>131</v>
      </c>
      <c r="N9" s="152">
        <v>90</v>
      </c>
      <c r="O9" s="5">
        <v>90</v>
      </c>
      <c r="P9" s="108">
        <f t="shared" si="0"/>
        <v>0</v>
      </c>
      <c r="Q9" s="108">
        <v>100</v>
      </c>
      <c r="R9" s="108">
        <v>100</v>
      </c>
      <c r="S9" s="108">
        <v>0</v>
      </c>
      <c r="T9" s="5">
        <v>100</v>
      </c>
      <c r="U9" s="5">
        <v>100</v>
      </c>
      <c r="V9" s="107">
        <f aca="true" t="shared" si="2" ref="V9:V15">U9-T9</f>
        <v>0</v>
      </c>
      <c r="W9" s="5">
        <v>100</v>
      </c>
      <c r="X9" s="5">
        <v>100</v>
      </c>
      <c r="Y9" s="107">
        <f aca="true" t="shared" si="3" ref="Y9:Y15">X9-W9</f>
        <v>0</v>
      </c>
      <c r="Z9" s="5">
        <v>100</v>
      </c>
      <c r="AA9" s="5">
        <v>100</v>
      </c>
      <c r="AB9" s="107">
        <f aca="true" t="shared" si="4" ref="AB9:AB15">AA9-Z9</f>
        <v>0</v>
      </c>
    </row>
    <row r="10" spans="1:28" s="6" customFormat="1" ht="26.25" customHeight="1">
      <c r="A10" s="30" t="s">
        <v>146</v>
      </c>
      <c r="B10" s="139">
        <v>94</v>
      </c>
      <c r="C10" s="54">
        <v>94</v>
      </c>
      <c r="D10" s="109">
        <f t="shared" si="1"/>
        <v>0</v>
      </c>
      <c r="E10" s="147" t="s">
        <v>131</v>
      </c>
      <c r="F10" s="147" t="s">
        <v>131</v>
      </c>
      <c r="G10" s="150" t="s">
        <v>131</v>
      </c>
      <c r="H10" s="98">
        <v>100</v>
      </c>
      <c r="I10" s="98">
        <v>100</v>
      </c>
      <c r="J10" s="151">
        <f aca="true" t="shared" si="5" ref="J10:J15">I10-H10</f>
        <v>0</v>
      </c>
      <c r="K10" s="102" t="s">
        <v>131</v>
      </c>
      <c r="L10" s="98" t="s">
        <v>131</v>
      </c>
      <c r="M10" s="158" t="s">
        <v>131</v>
      </c>
      <c r="N10" s="152">
        <v>88</v>
      </c>
      <c r="O10" s="5">
        <v>90</v>
      </c>
      <c r="P10" s="110">
        <f t="shared" si="0"/>
        <v>2</v>
      </c>
      <c r="Q10" s="111">
        <v>91.2</v>
      </c>
      <c r="R10" s="111">
        <v>100</v>
      </c>
      <c r="S10" s="111">
        <f>100-91.2</f>
        <v>8.799999999999997</v>
      </c>
      <c r="T10" s="54">
        <v>91.2</v>
      </c>
      <c r="U10" s="54">
        <v>100</v>
      </c>
      <c r="V10" s="109">
        <f t="shared" si="2"/>
        <v>8.799999999999997</v>
      </c>
      <c r="W10" s="54">
        <v>91.7</v>
      </c>
      <c r="X10" s="54">
        <v>100</v>
      </c>
      <c r="Y10" s="109">
        <f t="shared" si="3"/>
        <v>8.299999999999997</v>
      </c>
      <c r="Z10" s="54">
        <v>90.2</v>
      </c>
      <c r="AA10" s="54">
        <v>100</v>
      </c>
      <c r="AB10" s="109">
        <f t="shared" si="4"/>
        <v>9.799999999999997</v>
      </c>
    </row>
    <row r="11" spans="1:28" s="6" customFormat="1" ht="26.25" customHeight="1">
      <c r="A11" s="30" t="s">
        <v>9</v>
      </c>
      <c r="B11" s="139">
        <v>100</v>
      </c>
      <c r="C11" s="54">
        <v>100</v>
      </c>
      <c r="D11" s="109">
        <f t="shared" si="1"/>
        <v>0</v>
      </c>
      <c r="E11" s="147" t="s">
        <v>131</v>
      </c>
      <c r="F11" s="147" t="s">
        <v>131</v>
      </c>
      <c r="G11" s="150" t="s">
        <v>131</v>
      </c>
      <c r="H11" s="98">
        <v>100</v>
      </c>
      <c r="I11" s="98">
        <v>100</v>
      </c>
      <c r="J11" s="151">
        <f t="shared" si="5"/>
        <v>0</v>
      </c>
      <c r="K11" s="102" t="s">
        <v>131</v>
      </c>
      <c r="L11" s="98" t="s">
        <v>131</v>
      </c>
      <c r="M11" s="158" t="s">
        <v>131</v>
      </c>
      <c r="N11" s="152">
        <v>90</v>
      </c>
      <c r="O11" s="5">
        <v>90</v>
      </c>
      <c r="P11" s="111">
        <f t="shared" si="0"/>
        <v>0</v>
      </c>
      <c r="Q11" s="111">
        <v>100</v>
      </c>
      <c r="R11" s="111">
        <v>100</v>
      </c>
      <c r="S11" s="111">
        <v>0</v>
      </c>
      <c r="T11" s="54">
        <v>100</v>
      </c>
      <c r="U11" s="54">
        <v>100</v>
      </c>
      <c r="V11" s="109">
        <f t="shared" si="2"/>
        <v>0</v>
      </c>
      <c r="W11" s="54">
        <v>100</v>
      </c>
      <c r="X11" s="36">
        <v>93.82</v>
      </c>
      <c r="Y11" s="45">
        <f t="shared" si="3"/>
        <v>-6.180000000000007</v>
      </c>
      <c r="Z11" s="54">
        <v>100</v>
      </c>
      <c r="AA11" s="54">
        <v>100</v>
      </c>
      <c r="AB11" s="109">
        <f t="shared" si="4"/>
        <v>0</v>
      </c>
    </row>
    <row r="12" spans="1:28" s="6" customFormat="1" ht="26.25" customHeight="1">
      <c r="A12" s="30" t="s">
        <v>10</v>
      </c>
      <c r="B12" s="139">
        <v>100</v>
      </c>
      <c r="C12" s="54">
        <v>100</v>
      </c>
      <c r="D12" s="109">
        <f t="shared" si="1"/>
        <v>0</v>
      </c>
      <c r="E12" s="147">
        <v>100</v>
      </c>
      <c r="F12" s="147">
        <v>100</v>
      </c>
      <c r="G12" s="148">
        <f>F12-E12</f>
        <v>0</v>
      </c>
      <c r="H12" s="98">
        <v>100</v>
      </c>
      <c r="I12" s="98">
        <v>100</v>
      </c>
      <c r="J12" s="151">
        <f t="shared" si="5"/>
        <v>0</v>
      </c>
      <c r="K12" s="139">
        <v>100</v>
      </c>
      <c r="L12" s="54">
        <v>100</v>
      </c>
      <c r="M12" s="109">
        <v>0</v>
      </c>
      <c r="N12" s="152">
        <v>85</v>
      </c>
      <c r="O12" s="5">
        <v>90</v>
      </c>
      <c r="P12" s="110">
        <f t="shared" si="0"/>
        <v>5</v>
      </c>
      <c r="Q12" s="111">
        <v>100</v>
      </c>
      <c r="R12" s="111">
        <v>100</v>
      </c>
      <c r="S12" s="111">
        <v>0</v>
      </c>
      <c r="T12" s="54">
        <v>100</v>
      </c>
      <c r="U12" s="54">
        <v>100</v>
      </c>
      <c r="V12" s="109">
        <f t="shared" si="2"/>
        <v>0</v>
      </c>
      <c r="W12" s="54">
        <v>100</v>
      </c>
      <c r="X12" s="54">
        <v>100</v>
      </c>
      <c r="Y12" s="109">
        <f t="shared" si="3"/>
        <v>0</v>
      </c>
      <c r="Z12" s="54">
        <v>100</v>
      </c>
      <c r="AA12" s="54">
        <v>100</v>
      </c>
      <c r="AB12" s="109">
        <f t="shared" si="4"/>
        <v>0</v>
      </c>
    </row>
    <row r="13" spans="1:28" s="6" customFormat="1" ht="26.25" customHeight="1">
      <c r="A13" s="30" t="s">
        <v>11</v>
      </c>
      <c r="B13" s="139">
        <v>100</v>
      </c>
      <c r="C13" s="54">
        <v>100</v>
      </c>
      <c r="D13" s="109">
        <f t="shared" si="1"/>
        <v>0</v>
      </c>
      <c r="E13" s="147">
        <v>100</v>
      </c>
      <c r="F13" s="147">
        <v>100</v>
      </c>
      <c r="G13" s="148">
        <f>F13-E13</f>
        <v>0</v>
      </c>
      <c r="H13" s="98">
        <v>100</v>
      </c>
      <c r="I13" s="98">
        <v>100</v>
      </c>
      <c r="J13" s="151">
        <f t="shared" si="5"/>
        <v>0</v>
      </c>
      <c r="K13" s="102" t="s">
        <v>131</v>
      </c>
      <c r="L13" s="98" t="s">
        <v>131</v>
      </c>
      <c r="M13" s="158" t="s">
        <v>131</v>
      </c>
      <c r="N13" s="152">
        <v>85</v>
      </c>
      <c r="O13" s="5">
        <v>85</v>
      </c>
      <c r="P13" s="108">
        <f t="shared" si="0"/>
        <v>0</v>
      </c>
      <c r="Q13" s="108">
        <v>100</v>
      </c>
      <c r="R13" s="108">
        <v>100</v>
      </c>
      <c r="S13" s="108">
        <v>0</v>
      </c>
      <c r="T13" s="54">
        <v>100</v>
      </c>
      <c r="U13" s="54">
        <v>100</v>
      </c>
      <c r="V13" s="109">
        <f t="shared" si="2"/>
        <v>0</v>
      </c>
      <c r="W13" s="54">
        <v>100</v>
      </c>
      <c r="X13" s="54">
        <v>100</v>
      </c>
      <c r="Y13" s="109">
        <f t="shared" si="3"/>
        <v>0</v>
      </c>
      <c r="Z13" s="54">
        <v>100</v>
      </c>
      <c r="AA13" s="54">
        <v>100</v>
      </c>
      <c r="AB13" s="109">
        <f t="shared" si="4"/>
        <v>0</v>
      </c>
    </row>
    <row r="14" spans="1:28" s="6" customFormat="1" ht="26.25" customHeight="1">
      <c r="A14" s="30" t="s">
        <v>12</v>
      </c>
      <c r="B14" s="139">
        <v>100</v>
      </c>
      <c r="C14" s="54">
        <v>100</v>
      </c>
      <c r="D14" s="109">
        <f t="shared" si="1"/>
        <v>0</v>
      </c>
      <c r="E14" s="147" t="s">
        <v>131</v>
      </c>
      <c r="F14" s="147" t="s">
        <v>131</v>
      </c>
      <c r="G14" s="150" t="s">
        <v>131</v>
      </c>
      <c r="H14" s="98">
        <v>95</v>
      </c>
      <c r="I14" s="98" t="s">
        <v>238</v>
      </c>
      <c r="J14" s="151" t="s">
        <v>238</v>
      </c>
      <c r="K14" s="102" t="s">
        <v>131</v>
      </c>
      <c r="L14" s="98" t="s">
        <v>131</v>
      </c>
      <c r="M14" s="158" t="s">
        <v>131</v>
      </c>
      <c r="N14" s="152">
        <v>90</v>
      </c>
      <c r="O14" s="5">
        <v>90</v>
      </c>
      <c r="P14" s="108">
        <f t="shared" si="0"/>
        <v>0</v>
      </c>
      <c r="Q14" s="108">
        <v>100</v>
      </c>
      <c r="R14" s="108">
        <v>100</v>
      </c>
      <c r="S14" s="108">
        <v>0</v>
      </c>
      <c r="T14" s="54">
        <v>100</v>
      </c>
      <c r="U14" s="54">
        <v>100</v>
      </c>
      <c r="V14" s="109">
        <f t="shared" si="2"/>
        <v>0</v>
      </c>
      <c r="W14" s="54">
        <v>100</v>
      </c>
      <c r="X14" s="54">
        <v>100</v>
      </c>
      <c r="Y14" s="109">
        <f t="shared" si="3"/>
        <v>0</v>
      </c>
      <c r="Z14" s="54">
        <v>100</v>
      </c>
      <c r="AA14" s="54">
        <v>100</v>
      </c>
      <c r="AB14" s="109">
        <f t="shared" si="4"/>
        <v>0</v>
      </c>
    </row>
    <row r="15" spans="1:28" s="6" customFormat="1" ht="26.25" customHeight="1" thickBot="1">
      <c r="A15" s="31" t="s">
        <v>13</v>
      </c>
      <c r="B15" s="168">
        <v>94</v>
      </c>
      <c r="C15" s="56">
        <v>100</v>
      </c>
      <c r="D15" s="112">
        <f t="shared" si="1"/>
        <v>6</v>
      </c>
      <c r="E15" s="149">
        <v>100</v>
      </c>
      <c r="F15" s="149">
        <v>100</v>
      </c>
      <c r="G15" s="114">
        <v>0</v>
      </c>
      <c r="H15" s="104">
        <v>100</v>
      </c>
      <c r="I15" s="104">
        <v>100</v>
      </c>
      <c r="J15" s="114">
        <f t="shared" si="5"/>
        <v>0</v>
      </c>
      <c r="K15" s="103" t="s">
        <v>131</v>
      </c>
      <c r="L15" s="104" t="s">
        <v>131</v>
      </c>
      <c r="M15" s="159" t="s">
        <v>131</v>
      </c>
      <c r="N15" s="153">
        <v>100</v>
      </c>
      <c r="O15" s="21">
        <v>100</v>
      </c>
      <c r="P15" s="113">
        <f t="shared" si="0"/>
        <v>0</v>
      </c>
      <c r="Q15" s="113">
        <v>100</v>
      </c>
      <c r="R15" s="113">
        <v>100</v>
      </c>
      <c r="S15" s="113">
        <v>0</v>
      </c>
      <c r="T15" s="56">
        <v>100</v>
      </c>
      <c r="U15" s="56">
        <v>100</v>
      </c>
      <c r="V15" s="112">
        <f t="shared" si="2"/>
        <v>0</v>
      </c>
      <c r="W15" s="56">
        <v>93</v>
      </c>
      <c r="X15" s="56">
        <v>93</v>
      </c>
      <c r="Y15" s="112">
        <f t="shared" si="3"/>
        <v>0</v>
      </c>
      <c r="Z15" s="56">
        <v>100</v>
      </c>
      <c r="AA15" s="56">
        <v>100</v>
      </c>
      <c r="AB15" s="112">
        <f t="shared" si="4"/>
        <v>0</v>
      </c>
    </row>
    <row r="18" spans="1:4" ht="12.75">
      <c r="A18" s="8"/>
      <c r="B18" s="8"/>
      <c r="C18" s="8"/>
      <c r="D18" s="8"/>
    </row>
    <row r="19" spans="1:13" ht="12.75">
      <c r="A19" s="8"/>
      <c r="B19" s="8"/>
      <c r="C19" s="8"/>
      <c r="D19" s="8"/>
      <c r="K19" s="297"/>
      <c r="L19" s="297"/>
      <c r="M19" s="297"/>
    </row>
    <row r="21" spans="1:22" ht="12.75" customHeight="1">
      <c r="A21" s="189"/>
      <c r="K21" s="259"/>
      <c r="L21" s="259"/>
      <c r="M21" s="259"/>
      <c r="N21" s="259" t="s">
        <v>14</v>
      </c>
      <c r="O21" s="259"/>
      <c r="P21" s="259"/>
      <c r="Q21" s="12"/>
      <c r="R21" s="12"/>
      <c r="S21" s="12"/>
      <c r="T21" s="288"/>
      <c r="U21" s="288"/>
      <c r="V21" s="288"/>
    </row>
    <row r="22" spans="1:22" ht="12.75">
      <c r="A22" s="252"/>
      <c r="K22" s="259"/>
      <c r="L22" s="259"/>
      <c r="M22" s="259"/>
      <c r="N22" s="259"/>
      <c r="O22" s="259"/>
      <c r="P22" s="259"/>
      <c r="Q22" s="12"/>
      <c r="R22" s="12"/>
      <c r="S22" s="12"/>
      <c r="T22" s="288"/>
      <c r="U22" s="288"/>
      <c r="V22" s="288"/>
    </row>
    <row r="23" spans="1:22" ht="67.5">
      <c r="A23" s="252"/>
      <c r="K23" s="66"/>
      <c r="L23" s="66"/>
      <c r="M23" s="66"/>
      <c r="N23" s="66" t="s">
        <v>42</v>
      </c>
      <c r="O23" s="66" t="s">
        <v>44</v>
      </c>
      <c r="P23" s="66" t="s">
        <v>24</v>
      </c>
      <c r="Q23" s="66"/>
      <c r="R23" s="66"/>
      <c r="S23" s="66"/>
      <c r="T23" s="66"/>
      <c r="U23" s="66"/>
      <c r="V23" s="66"/>
    </row>
    <row r="24" spans="1:22" ht="12.75">
      <c r="A24" s="11"/>
      <c r="K24" s="11"/>
      <c r="L24" s="11"/>
      <c r="M24" s="11"/>
      <c r="N24" s="11">
        <v>15</v>
      </c>
      <c r="O24" s="11">
        <v>15</v>
      </c>
      <c r="P24" s="11">
        <v>16</v>
      </c>
      <c r="Q24" s="11"/>
      <c r="R24" s="11"/>
      <c r="S24" s="11"/>
      <c r="T24" s="160"/>
      <c r="U24" s="160"/>
      <c r="V24" s="160"/>
    </row>
    <row r="25" spans="1:22" ht="21.75" customHeight="1">
      <c r="A25" s="181"/>
      <c r="K25" s="161"/>
      <c r="L25" s="161"/>
      <c r="M25" s="162"/>
      <c r="N25" s="163">
        <v>90</v>
      </c>
      <c r="O25" s="163">
        <v>90</v>
      </c>
      <c r="P25" s="164">
        <f aca="true" t="shared" si="6" ref="P25:P32">O25-N25</f>
        <v>0</v>
      </c>
      <c r="Q25" s="164"/>
      <c r="R25" s="164"/>
      <c r="S25" s="164"/>
      <c r="T25" s="165"/>
      <c r="U25" s="165"/>
      <c r="V25" s="144"/>
    </row>
    <row r="26" spans="1:22" ht="21.75" customHeight="1">
      <c r="A26" s="57"/>
      <c r="K26" s="163"/>
      <c r="L26" s="163"/>
      <c r="M26" s="143"/>
      <c r="N26" s="163">
        <v>90</v>
      </c>
      <c r="O26" s="163">
        <v>90</v>
      </c>
      <c r="P26" s="143">
        <f t="shared" si="6"/>
        <v>0</v>
      </c>
      <c r="Q26" s="143"/>
      <c r="R26" s="143"/>
      <c r="S26" s="143"/>
      <c r="T26" s="165"/>
      <c r="U26" s="165"/>
      <c r="V26" s="144"/>
    </row>
    <row r="27" spans="1:22" ht="21.75" customHeight="1">
      <c r="A27" s="57"/>
      <c r="K27" s="59"/>
      <c r="L27" s="59"/>
      <c r="M27" s="130"/>
      <c r="N27" s="163">
        <v>88</v>
      </c>
      <c r="O27" s="163">
        <v>90</v>
      </c>
      <c r="P27" s="166">
        <f t="shared" si="6"/>
        <v>2</v>
      </c>
      <c r="Q27" s="166"/>
      <c r="R27" s="166"/>
      <c r="S27" s="166"/>
      <c r="T27" s="165"/>
      <c r="U27" s="165"/>
      <c r="V27" s="144"/>
    </row>
    <row r="28" spans="1:22" ht="21.75" customHeight="1">
      <c r="A28" s="57"/>
      <c r="K28" s="59"/>
      <c r="L28" s="59"/>
      <c r="M28" s="130"/>
      <c r="N28" s="163">
        <v>90</v>
      </c>
      <c r="O28" s="163">
        <v>90</v>
      </c>
      <c r="P28" s="130">
        <f t="shared" si="6"/>
        <v>0</v>
      </c>
      <c r="Q28" s="130"/>
      <c r="R28" s="130"/>
      <c r="S28" s="130"/>
      <c r="T28" s="165"/>
      <c r="U28" s="165"/>
      <c r="V28" s="144"/>
    </row>
    <row r="29" spans="1:22" ht="21.75" customHeight="1">
      <c r="A29" s="57"/>
      <c r="K29" s="59"/>
      <c r="L29" s="59"/>
      <c r="M29" s="130"/>
      <c r="N29" s="163">
        <v>85</v>
      </c>
      <c r="O29" s="163">
        <v>90</v>
      </c>
      <c r="P29" s="166">
        <f t="shared" si="6"/>
        <v>5</v>
      </c>
      <c r="Q29" s="166"/>
      <c r="R29" s="166"/>
      <c r="S29" s="166"/>
      <c r="T29" s="165"/>
      <c r="U29" s="165"/>
      <c r="V29" s="144"/>
    </row>
    <row r="30" spans="1:22" ht="21.75" customHeight="1">
      <c r="A30" s="57"/>
      <c r="K30" s="59"/>
      <c r="L30" s="59"/>
      <c r="M30" s="130"/>
      <c r="N30" s="163">
        <v>85</v>
      </c>
      <c r="O30" s="163">
        <v>85</v>
      </c>
      <c r="P30" s="143">
        <f t="shared" si="6"/>
        <v>0</v>
      </c>
      <c r="Q30" s="143"/>
      <c r="R30" s="143"/>
      <c r="S30" s="143"/>
      <c r="T30" s="165"/>
      <c r="U30" s="165"/>
      <c r="V30" s="144"/>
    </row>
    <row r="31" spans="1:22" ht="21.75" customHeight="1">
      <c r="A31" s="57"/>
      <c r="K31" s="59"/>
      <c r="L31" s="59"/>
      <c r="M31" s="130"/>
      <c r="N31" s="163">
        <v>90</v>
      </c>
      <c r="O31" s="163">
        <v>90</v>
      </c>
      <c r="P31" s="143">
        <f t="shared" si="6"/>
        <v>0</v>
      </c>
      <c r="Q31" s="143"/>
      <c r="R31" s="143"/>
      <c r="S31" s="143"/>
      <c r="T31" s="165"/>
      <c r="U31" s="165"/>
      <c r="V31" s="144"/>
    </row>
    <row r="32" spans="1:22" ht="21.75" customHeight="1">
      <c r="A32" s="57"/>
      <c r="K32" s="59"/>
      <c r="L32" s="59"/>
      <c r="M32" s="130"/>
      <c r="N32" s="163">
        <v>100</v>
      </c>
      <c r="O32" s="163">
        <v>100</v>
      </c>
      <c r="P32" s="143">
        <f t="shared" si="6"/>
        <v>0</v>
      </c>
      <c r="Q32" s="143"/>
      <c r="R32" s="143"/>
      <c r="S32" s="143"/>
      <c r="T32" s="165"/>
      <c r="U32" s="165"/>
      <c r="V32" s="144"/>
    </row>
    <row r="33" ht="12.75">
      <c r="A33" s="132"/>
    </row>
  </sheetData>
  <mergeCells count="17">
    <mergeCell ref="AA1:AB1"/>
    <mergeCell ref="N21:P22"/>
    <mergeCell ref="T21:V22"/>
    <mergeCell ref="A22:A23"/>
    <mergeCell ref="K19:M19"/>
    <mergeCell ref="T4:V5"/>
    <mergeCell ref="W4:Y5"/>
    <mergeCell ref="Z4:AB5"/>
    <mergeCell ref="K21:M22"/>
    <mergeCell ref="E4:G5"/>
    <mergeCell ref="A2:Z2"/>
    <mergeCell ref="H4:J5"/>
    <mergeCell ref="K4:M5"/>
    <mergeCell ref="N4:P5"/>
    <mergeCell ref="A5:A6"/>
    <mergeCell ref="B4:D5"/>
    <mergeCell ref="Q4:S5"/>
  </mergeCells>
  <printOptions/>
  <pageMargins left="0.33" right="0" top="0.5905511811023623" bottom="0.7874015748031497" header="0.5118110236220472" footer="0.5118110236220472"/>
  <pageSetup horizontalDpi="600" verticalDpi="600" orientation="landscape" paperSize="9" scale="95" r:id="rId2"/>
  <rowBreaks count="1" manualBreakCount="1">
    <brk id="17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0"/>
  <sheetViews>
    <sheetView zoomScaleSheetLayoutView="10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A17" sqref="A17:L17"/>
    </sheetView>
  </sheetViews>
  <sheetFormatPr defaultColWidth="9.125" defaultRowHeight="12.75"/>
  <cols>
    <col min="1" max="1" width="10.00390625" style="9" customWidth="1"/>
    <col min="2" max="2" width="10.875" style="9" customWidth="1"/>
    <col min="3" max="3" width="11.125" style="9" customWidth="1"/>
    <col min="4" max="4" width="7.625" style="9" customWidth="1"/>
    <col min="5" max="5" width="8.00390625" style="9" customWidth="1"/>
    <col min="6" max="6" width="8.25390625" style="9" hidden="1" customWidth="1"/>
    <col min="7" max="7" width="9.375" style="9" hidden="1" customWidth="1"/>
    <col min="8" max="8" width="7.125" style="9" hidden="1" customWidth="1"/>
    <col min="9" max="9" width="6.625" style="9" hidden="1" customWidth="1"/>
    <col min="10" max="11" width="9.625" style="9" hidden="1" customWidth="1"/>
    <col min="12" max="12" width="6.75390625" style="9" hidden="1" customWidth="1"/>
    <col min="13" max="13" width="6.625" style="9" hidden="1" customWidth="1"/>
    <col min="14" max="14" width="9.25390625" style="9" hidden="1" customWidth="1"/>
    <col min="15" max="15" width="8.875" style="9" hidden="1" customWidth="1"/>
    <col min="16" max="16" width="6.375" style="9" hidden="1" customWidth="1"/>
    <col min="17" max="17" width="6.625" style="9" hidden="1" customWidth="1"/>
    <col min="18" max="18" width="9.75390625" style="9" customWidth="1"/>
    <col min="19" max="19" width="10.875" style="9" customWidth="1"/>
    <col min="20" max="20" width="6.125" style="9" customWidth="1"/>
    <col min="21" max="21" width="6.625" style="9" customWidth="1"/>
    <col min="22" max="22" width="9.00390625" style="9" customWidth="1"/>
    <col min="23" max="23" width="8.75390625" style="9" customWidth="1"/>
    <col min="24" max="24" width="6.25390625" style="9" customWidth="1"/>
    <col min="25" max="25" width="6.125" style="9" customWidth="1"/>
    <col min="26" max="27" width="8.875" style="9" customWidth="1"/>
    <col min="28" max="28" width="6.125" style="9" customWidth="1"/>
    <col min="29" max="29" width="7.125" style="9" customWidth="1"/>
    <col min="30" max="30" width="8.625" style="9" customWidth="1"/>
    <col min="31" max="31" width="9.125" style="9" customWidth="1"/>
    <col min="32" max="32" width="6.875" style="9" customWidth="1"/>
    <col min="33" max="33" width="6.625" style="9" customWidth="1"/>
    <col min="34" max="16384" width="17.75390625" style="9" customWidth="1"/>
  </cols>
  <sheetData>
    <row r="1" spans="18:33" ht="12.75" customHeight="1">
      <c r="R1" s="10"/>
      <c r="AE1" s="301" t="s">
        <v>33</v>
      </c>
      <c r="AF1" s="301"/>
      <c r="AG1" s="301"/>
    </row>
    <row r="2" spans="1:31" ht="41.25" customHeight="1">
      <c r="A2" s="309" t="s">
        <v>279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21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33" ht="24.75" customHeight="1">
      <c r="A4" s="22" t="s">
        <v>0</v>
      </c>
      <c r="B4" s="303" t="s">
        <v>1</v>
      </c>
      <c r="C4" s="304"/>
      <c r="D4" s="304"/>
      <c r="E4" s="305"/>
      <c r="F4" s="306" t="s">
        <v>144</v>
      </c>
      <c r="G4" s="307"/>
      <c r="H4" s="307"/>
      <c r="I4" s="308"/>
      <c r="J4" s="304" t="s">
        <v>116</v>
      </c>
      <c r="K4" s="304"/>
      <c r="L4" s="304"/>
      <c r="M4" s="304"/>
      <c r="N4" s="306" t="s">
        <v>133</v>
      </c>
      <c r="O4" s="307"/>
      <c r="P4" s="307"/>
      <c r="Q4" s="308"/>
      <c r="R4" s="306" t="s">
        <v>2</v>
      </c>
      <c r="S4" s="307"/>
      <c r="T4" s="307"/>
      <c r="U4" s="308"/>
      <c r="V4" s="306" t="s">
        <v>169</v>
      </c>
      <c r="W4" s="307"/>
      <c r="X4" s="307"/>
      <c r="Y4" s="308"/>
      <c r="Z4" s="306" t="s">
        <v>3</v>
      </c>
      <c r="AA4" s="307"/>
      <c r="AB4" s="307"/>
      <c r="AC4" s="308"/>
      <c r="AD4" s="306" t="s">
        <v>14</v>
      </c>
      <c r="AE4" s="307"/>
      <c r="AF4" s="307"/>
      <c r="AG4" s="308"/>
    </row>
    <row r="5" spans="1:33" ht="67.5" customHeight="1">
      <c r="A5" s="23" t="s">
        <v>4</v>
      </c>
      <c r="B5" s="39" t="s">
        <v>280</v>
      </c>
      <c r="C5" s="39" t="s">
        <v>281</v>
      </c>
      <c r="D5" s="2" t="s">
        <v>5</v>
      </c>
      <c r="E5" s="18" t="s">
        <v>15</v>
      </c>
      <c r="F5" s="39" t="s">
        <v>286</v>
      </c>
      <c r="G5" s="39" t="s">
        <v>287</v>
      </c>
      <c r="H5" s="2" t="s">
        <v>5</v>
      </c>
      <c r="I5" s="18" t="s">
        <v>15</v>
      </c>
      <c r="J5" s="39" t="s">
        <v>290</v>
      </c>
      <c r="K5" s="39" t="s">
        <v>291</v>
      </c>
      <c r="L5" s="2" t="s">
        <v>5</v>
      </c>
      <c r="M5" s="176" t="s">
        <v>15</v>
      </c>
      <c r="N5" s="39" t="s">
        <v>290</v>
      </c>
      <c r="O5" s="39" t="s">
        <v>291</v>
      </c>
      <c r="P5" s="2" t="s">
        <v>5</v>
      </c>
      <c r="Q5" s="18" t="s">
        <v>15</v>
      </c>
      <c r="R5" s="39" t="s">
        <v>280</v>
      </c>
      <c r="S5" s="39" t="s">
        <v>281</v>
      </c>
      <c r="T5" s="40" t="s">
        <v>5</v>
      </c>
      <c r="U5" s="41" t="s">
        <v>15</v>
      </c>
      <c r="V5" s="39" t="s">
        <v>290</v>
      </c>
      <c r="W5" s="39" t="s">
        <v>311</v>
      </c>
      <c r="X5" s="40" t="s">
        <v>5</v>
      </c>
      <c r="Y5" s="41" t="s">
        <v>15</v>
      </c>
      <c r="Z5" s="231" t="s">
        <v>290</v>
      </c>
      <c r="AA5" s="231" t="s">
        <v>291</v>
      </c>
      <c r="AB5" s="40" t="s">
        <v>5</v>
      </c>
      <c r="AC5" s="41" t="s">
        <v>15</v>
      </c>
      <c r="AD5" s="231" t="s">
        <v>290</v>
      </c>
      <c r="AE5" s="231" t="s">
        <v>291</v>
      </c>
      <c r="AF5" s="40" t="s">
        <v>5</v>
      </c>
      <c r="AG5" s="41" t="s">
        <v>15</v>
      </c>
    </row>
    <row r="6" spans="1:33" ht="12.75">
      <c r="A6" s="24">
        <v>1</v>
      </c>
      <c r="B6" s="156">
        <v>2</v>
      </c>
      <c r="C6" s="3">
        <v>3</v>
      </c>
      <c r="D6" s="3">
        <v>4</v>
      </c>
      <c r="E6" s="19">
        <v>5</v>
      </c>
      <c r="F6" s="88">
        <v>6</v>
      </c>
      <c r="G6" s="42">
        <v>7</v>
      </c>
      <c r="H6" s="42">
        <v>8</v>
      </c>
      <c r="I6" s="55">
        <v>9</v>
      </c>
      <c r="J6" s="155">
        <v>10</v>
      </c>
      <c r="K6" s="3">
        <v>11</v>
      </c>
      <c r="L6" s="3">
        <v>12</v>
      </c>
      <c r="M6" s="99">
        <v>13</v>
      </c>
      <c r="N6" s="88">
        <v>14</v>
      </c>
      <c r="O6" s="42">
        <v>15</v>
      </c>
      <c r="P6" s="42">
        <v>16</v>
      </c>
      <c r="Q6" s="55">
        <v>17</v>
      </c>
      <c r="R6" s="42">
        <v>18</v>
      </c>
      <c r="S6" s="42">
        <v>19</v>
      </c>
      <c r="T6" s="42">
        <v>20</v>
      </c>
      <c r="U6" s="55">
        <v>21</v>
      </c>
      <c r="V6" s="42">
        <v>22</v>
      </c>
      <c r="W6" s="42">
        <v>23</v>
      </c>
      <c r="X6" s="42">
        <v>24</v>
      </c>
      <c r="Y6" s="55">
        <v>25</v>
      </c>
      <c r="Z6" s="42">
        <v>26</v>
      </c>
      <c r="AA6" s="42">
        <v>27</v>
      </c>
      <c r="AB6" s="42">
        <v>28</v>
      </c>
      <c r="AC6" s="55">
        <v>29</v>
      </c>
      <c r="AD6" s="88">
        <v>30</v>
      </c>
      <c r="AE6" s="42">
        <v>31</v>
      </c>
      <c r="AF6" s="42">
        <v>32</v>
      </c>
      <c r="AG6" s="55">
        <v>33</v>
      </c>
    </row>
    <row r="7" spans="1:33" s="12" customFormat="1" ht="26.25" customHeight="1">
      <c r="A7" s="78" t="s">
        <v>6</v>
      </c>
      <c r="B7" s="116" t="s">
        <v>188</v>
      </c>
      <c r="C7" s="116" t="s">
        <v>229</v>
      </c>
      <c r="D7" s="77">
        <f>(13.05/18.2)*100</f>
        <v>71.70329670329672</v>
      </c>
      <c r="E7" s="76">
        <f>13.05-18.2</f>
        <v>-5.149999999999999</v>
      </c>
      <c r="F7" s="74" t="s">
        <v>130</v>
      </c>
      <c r="G7" s="74" t="s">
        <v>289</v>
      </c>
      <c r="H7" s="75" t="s">
        <v>238</v>
      </c>
      <c r="I7" s="119" t="s">
        <v>238</v>
      </c>
      <c r="J7" s="74" t="s">
        <v>128</v>
      </c>
      <c r="K7" s="74" t="s">
        <v>303</v>
      </c>
      <c r="L7" s="75">
        <f>(16.08/29.19)*100</f>
        <v>55.08735868448098</v>
      </c>
      <c r="M7" s="174">
        <f>16.08-29.19</f>
        <v>-13.110000000000003</v>
      </c>
      <c r="N7" s="74" t="s">
        <v>168</v>
      </c>
      <c r="O7" s="74" t="s">
        <v>298</v>
      </c>
      <c r="P7" s="75">
        <f>(3.66/8.07)*100</f>
        <v>45.353159851301115</v>
      </c>
      <c r="Q7" s="119">
        <f>3.66-8.07</f>
        <v>-4.41</v>
      </c>
      <c r="R7" s="74" t="s">
        <v>342</v>
      </c>
      <c r="S7" s="74" t="s">
        <v>342</v>
      </c>
      <c r="T7" s="75">
        <v>100</v>
      </c>
      <c r="U7" s="119">
        <v>0</v>
      </c>
      <c r="V7" s="74" t="s">
        <v>124</v>
      </c>
      <c r="W7" s="74" t="s">
        <v>314</v>
      </c>
      <c r="X7" s="75">
        <v>100</v>
      </c>
      <c r="Y7" s="119">
        <v>0</v>
      </c>
      <c r="Z7" s="74" t="s">
        <v>125</v>
      </c>
      <c r="AA7" s="74" t="s">
        <v>325</v>
      </c>
      <c r="AB7" s="75">
        <v>100</v>
      </c>
      <c r="AC7" s="119">
        <v>0</v>
      </c>
      <c r="AD7" s="74" t="s">
        <v>213</v>
      </c>
      <c r="AE7" s="74" t="s">
        <v>333</v>
      </c>
      <c r="AF7" s="75">
        <v>100</v>
      </c>
      <c r="AG7" s="119">
        <v>0</v>
      </c>
    </row>
    <row r="8" spans="1:33" s="12" customFormat="1" ht="26.25" customHeight="1">
      <c r="A8" s="25" t="s">
        <v>7</v>
      </c>
      <c r="B8" s="116" t="s">
        <v>190</v>
      </c>
      <c r="C8" s="116" t="s">
        <v>282</v>
      </c>
      <c r="D8" s="77">
        <v>100</v>
      </c>
      <c r="E8" s="76">
        <v>0</v>
      </c>
      <c r="F8" s="74">
        <v>91.73</v>
      </c>
      <c r="G8" s="74">
        <v>91.73</v>
      </c>
      <c r="H8" s="75">
        <f>(G8/F8)*100</f>
        <v>100</v>
      </c>
      <c r="I8" s="119">
        <f>G8-F8</f>
        <v>0</v>
      </c>
      <c r="J8" s="171" t="s">
        <v>192</v>
      </c>
      <c r="K8" s="171" t="s">
        <v>304</v>
      </c>
      <c r="L8" s="75">
        <v>100</v>
      </c>
      <c r="M8" s="174">
        <v>0</v>
      </c>
      <c r="N8" s="173" t="s">
        <v>195</v>
      </c>
      <c r="O8" s="173" t="s">
        <v>299</v>
      </c>
      <c r="P8" s="75">
        <v>100</v>
      </c>
      <c r="Q8" s="174">
        <v>0</v>
      </c>
      <c r="R8" s="74" t="s">
        <v>198</v>
      </c>
      <c r="S8" s="74" t="s">
        <v>198</v>
      </c>
      <c r="T8" s="75">
        <v>100</v>
      </c>
      <c r="U8" s="119">
        <v>0</v>
      </c>
      <c r="V8" s="74" t="s">
        <v>207</v>
      </c>
      <c r="W8" s="74" t="s">
        <v>317</v>
      </c>
      <c r="X8" s="75">
        <v>100</v>
      </c>
      <c r="Y8" s="119">
        <v>0</v>
      </c>
      <c r="Z8" s="74" t="s">
        <v>209</v>
      </c>
      <c r="AA8" s="74" t="s">
        <v>328</v>
      </c>
      <c r="AB8" s="75">
        <v>100</v>
      </c>
      <c r="AC8" s="119">
        <v>0</v>
      </c>
      <c r="AD8" s="74" t="s">
        <v>214</v>
      </c>
      <c r="AE8" s="74" t="s">
        <v>335</v>
      </c>
      <c r="AF8" s="75">
        <v>100</v>
      </c>
      <c r="AG8" s="119">
        <v>0</v>
      </c>
    </row>
    <row r="9" spans="1:33" s="12" customFormat="1" ht="26.25" customHeight="1">
      <c r="A9" s="25" t="s">
        <v>8</v>
      </c>
      <c r="B9" s="116" t="s">
        <v>191</v>
      </c>
      <c r="C9" s="116" t="s">
        <v>191</v>
      </c>
      <c r="D9" s="77">
        <v>100</v>
      </c>
      <c r="E9" s="76">
        <v>0</v>
      </c>
      <c r="F9" s="74" t="s">
        <v>131</v>
      </c>
      <c r="G9" s="74" t="s">
        <v>131</v>
      </c>
      <c r="H9" s="74" t="s">
        <v>131</v>
      </c>
      <c r="I9" s="119" t="s">
        <v>131</v>
      </c>
      <c r="J9" s="171" t="s">
        <v>160</v>
      </c>
      <c r="K9" s="171" t="s">
        <v>300</v>
      </c>
      <c r="L9" s="75">
        <f>(24.51/21.15)*100</f>
        <v>115.88652482269507</v>
      </c>
      <c r="M9" s="174">
        <f>24.51-21.15</f>
        <v>3.360000000000003</v>
      </c>
      <c r="N9" s="173" t="s">
        <v>164</v>
      </c>
      <c r="O9" s="173" t="s">
        <v>297</v>
      </c>
      <c r="P9" s="75">
        <f>(3.83/3.51)*100</f>
        <v>109.11680911680912</v>
      </c>
      <c r="Q9" s="174">
        <f>3.83-3.51</f>
        <v>0.3200000000000003</v>
      </c>
      <c r="R9" s="74" t="s">
        <v>96</v>
      </c>
      <c r="S9" s="74" t="s">
        <v>305</v>
      </c>
      <c r="T9" s="75">
        <f>(12.95/10.32)*100</f>
        <v>125.48449612403098</v>
      </c>
      <c r="U9" s="119">
        <f>12.95-10.32</f>
        <v>2.629999999999999</v>
      </c>
      <c r="V9" s="74" t="s">
        <v>78</v>
      </c>
      <c r="W9" s="74" t="s">
        <v>312</v>
      </c>
      <c r="X9" s="75">
        <f>(65.84/55.35)*100</f>
        <v>118.95212285456189</v>
      </c>
      <c r="Y9" s="119">
        <f>65.84-55.35</f>
        <v>10.490000000000002</v>
      </c>
      <c r="Z9" s="74" t="s">
        <v>79</v>
      </c>
      <c r="AA9" s="74" t="s">
        <v>320</v>
      </c>
      <c r="AB9" s="75">
        <f>(99.04/81.2)*100</f>
        <v>121.9704433497537</v>
      </c>
      <c r="AC9" s="119">
        <f>99.04-81.2</f>
        <v>17.840000000000003</v>
      </c>
      <c r="AD9" s="74" t="s">
        <v>80</v>
      </c>
      <c r="AE9" s="74" t="s">
        <v>329</v>
      </c>
      <c r="AF9" s="75">
        <f>(98.04/79.63)*100</f>
        <v>123.1194273515007</v>
      </c>
      <c r="AG9" s="119">
        <f>98.04-79.63</f>
        <v>18.41000000000001</v>
      </c>
    </row>
    <row r="10" spans="1:33" s="12" customFormat="1" ht="26.25" customHeight="1">
      <c r="A10" s="25" t="s">
        <v>9</v>
      </c>
      <c r="B10" s="74" t="s">
        <v>185</v>
      </c>
      <c r="C10" s="74" t="s">
        <v>185</v>
      </c>
      <c r="D10" s="75">
        <v>100</v>
      </c>
      <c r="E10" s="119">
        <v>0</v>
      </c>
      <c r="F10" s="74" t="s">
        <v>131</v>
      </c>
      <c r="G10" s="74" t="s">
        <v>131</v>
      </c>
      <c r="H10" s="74" t="s">
        <v>131</v>
      </c>
      <c r="I10" s="119" t="s">
        <v>131</v>
      </c>
      <c r="J10" s="171" t="s">
        <v>193</v>
      </c>
      <c r="K10" s="171" t="s">
        <v>292</v>
      </c>
      <c r="L10" s="75">
        <f>(37.15/34.56)*100</f>
        <v>107.49421296296295</v>
      </c>
      <c r="M10" s="174">
        <f>37.15-34.56</f>
        <v>2.5899999999999963</v>
      </c>
      <c r="N10" s="173" t="s">
        <v>196</v>
      </c>
      <c r="O10" s="173" t="s">
        <v>293</v>
      </c>
      <c r="P10" s="75">
        <f>(10.66/9.27)*100</f>
        <v>114.99460625674219</v>
      </c>
      <c r="Q10" s="174">
        <f>10.66-9.27</f>
        <v>1.3900000000000006</v>
      </c>
      <c r="R10" s="74" t="s">
        <v>199</v>
      </c>
      <c r="S10" s="74" t="s">
        <v>306</v>
      </c>
      <c r="T10" s="75">
        <f>(25.22/23.81)*100</f>
        <v>105.92188156236875</v>
      </c>
      <c r="U10" s="119">
        <f>25.22-23.81</f>
        <v>1.4100000000000001</v>
      </c>
      <c r="V10" s="74" t="s">
        <v>204</v>
      </c>
      <c r="W10" s="74" t="s">
        <v>313</v>
      </c>
      <c r="X10" s="75">
        <f>(203.53/177.62)*100</f>
        <v>114.58732124760725</v>
      </c>
      <c r="Y10" s="119">
        <f>203.53-177.62</f>
        <v>25.909999999999997</v>
      </c>
      <c r="Z10" s="74" t="s">
        <v>210</v>
      </c>
      <c r="AA10" s="74" t="s">
        <v>321</v>
      </c>
      <c r="AB10" s="75">
        <f>(263.67/230.08)*100</f>
        <v>114.59926981919332</v>
      </c>
      <c r="AC10" s="119">
        <f>263.67-230.08</f>
        <v>33.59</v>
      </c>
      <c r="AD10" s="74" t="s">
        <v>215</v>
      </c>
      <c r="AE10" s="74" t="s">
        <v>334</v>
      </c>
      <c r="AF10" s="75">
        <f>(142.25/134.27)*100</f>
        <v>105.9432486780368</v>
      </c>
      <c r="AG10" s="119">
        <f>142.25-134.27</f>
        <v>7.97999999999999</v>
      </c>
    </row>
    <row r="11" spans="1:33" s="12" customFormat="1" ht="26.25" customHeight="1">
      <c r="A11" s="25" t="s">
        <v>10</v>
      </c>
      <c r="B11" s="74" t="s">
        <v>186</v>
      </c>
      <c r="C11" s="74" t="s">
        <v>285</v>
      </c>
      <c r="D11" s="75">
        <v>100</v>
      </c>
      <c r="E11" s="119">
        <v>0</v>
      </c>
      <c r="F11" s="74">
        <v>128.34</v>
      </c>
      <c r="G11" s="74">
        <v>128.34</v>
      </c>
      <c r="H11" s="75">
        <f>(G11/F11)*100</f>
        <v>100</v>
      </c>
      <c r="I11" s="119">
        <f>G11-F11</f>
        <v>0</v>
      </c>
      <c r="J11" s="74" t="s">
        <v>161</v>
      </c>
      <c r="K11" s="74" t="s">
        <v>161</v>
      </c>
      <c r="L11" s="75">
        <v>100</v>
      </c>
      <c r="M11" s="174">
        <v>0</v>
      </c>
      <c r="N11" s="173" t="s">
        <v>165</v>
      </c>
      <c r="O11" s="173" t="s">
        <v>295</v>
      </c>
      <c r="P11" s="75">
        <f>(4.61/3.84)*100</f>
        <v>120.05208333333334</v>
      </c>
      <c r="Q11" s="174">
        <f>4.61-3.84</f>
        <v>0.7700000000000005</v>
      </c>
      <c r="R11" s="74" t="s">
        <v>201</v>
      </c>
      <c r="S11" s="74" t="s">
        <v>307</v>
      </c>
      <c r="T11" s="75">
        <f>(16.72/14.57)*100</f>
        <v>114.7563486616335</v>
      </c>
      <c r="U11" s="119">
        <f>16.72-14.57</f>
        <v>2.1499999999999986</v>
      </c>
      <c r="V11" s="74" t="s">
        <v>203</v>
      </c>
      <c r="W11" s="74" t="s">
        <v>315</v>
      </c>
      <c r="X11" s="75">
        <f>(121.57/118.92)*100</f>
        <v>102.22838883282878</v>
      </c>
      <c r="Y11" s="119">
        <f>121.57-118.92</f>
        <v>2.6499999999999915</v>
      </c>
      <c r="Z11" s="74" t="s">
        <v>211</v>
      </c>
      <c r="AA11" s="74" t="s">
        <v>323</v>
      </c>
      <c r="AB11" s="75">
        <f>(180.76/151.12)*100</f>
        <v>119.61355214399151</v>
      </c>
      <c r="AC11" s="119">
        <f>180.76-151.12</f>
        <v>29.639999999999986</v>
      </c>
      <c r="AD11" s="74" t="s">
        <v>216</v>
      </c>
      <c r="AE11" s="74" t="s">
        <v>332</v>
      </c>
      <c r="AF11" s="75">
        <f>(143.3/124.89)*100</f>
        <v>114.74097205540876</v>
      </c>
      <c r="AG11" s="119">
        <f>143.3-124.89</f>
        <v>18.41000000000001</v>
      </c>
    </row>
    <row r="12" spans="1:33" s="12" customFormat="1" ht="26.25" customHeight="1">
      <c r="A12" s="25" t="s">
        <v>11</v>
      </c>
      <c r="B12" s="74" t="s">
        <v>187</v>
      </c>
      <c r="C12" s="74" t="s">
        <v>284</v>
      </c>
      <c r="D12" s="75">
        <f>(14.32/13.1)*100</f>
        <v>109.31297709923665</v>
      </c>
      <c r="E12" s="119">
        <f>14.32-13.1</f>
        <v>1.2200000000000006</v>
      </c>
      <c r="F12" s="74">
        <v>95</v>
      </c>
      <c r="G12" s="74">
        <v>102</v>
      </c>
      <c r="H12" s="75">
        <f>(G12/F12)*100</f>
        <v>107.36842105263158</v>
      </c>
      <c r="I12" s="119">
        <f>G12-F12</f>
        <v>7</v>
      </c>
      <c r="J12" s="171" t="s">
        <v>194</v>
      </c>
      <c r="K12" s="171" t="s">
        <v>302</v>
      </c>
      <c r="L12" s="75">
        <f>(17.12/13.16)*100</f>
        <v>130.09118541033436</v>
      </c>
      <c r="M12" s="174">
        <f>17.12-13.16</f>
        <v>3.960000000000001</v>
      </c>
      <c r="N12" s="173" t="s">
        <v>197</v>
      </c>
      <c r="O12" s="173" t="s">
        <v>294</v>
      </c>
      <c r="P12" s="75">
        <f>(17.26/14.75)*100</f>
        <v>117.0169491525424</v>
      </c>
      <c r="Q12" s="174">
        <f>17.26-14.75</f>
        <v>2.5100000000000016</v>
      </c>
      <c r="R12" s="74" t="s">
        <v>200</v>
      </c>
      <c r="S12" s="74" t="s">
        <v>309</v>
      </c>
      <c r="T12" s="75">
        <f>(13.78/13.05)*100</f>
        <v>105.59386973180077</v>
      </c>
      <c r="U12" s="119">
        <f>13.78-13.05</f>
        <v>0.7299999999999986</v>
      </c>
      <c r="V12" s="74" t="s">
        <v>206</v>
      </c>
      <c r="W12" s="74" t="s">
        <v>316</v>
      </c>
      <c r="X12" s="75">
        <f>(119.04/110.67)*100</f>
        <v>107.56302521008404</v>
      </c>
      <c r="Y12" s="119">
        <f>119.04-110.67</f>
        <v>8.370000000000005</v>
      </c>
      <c r="Z12" s="74" t="s">
        <v>212</v>
      </c>
      <c r="AA12" s="74" t="s">
        <v>326</v>
      </c>
      <c r="AB12" s="75">
        <f>(105.8/99.36)*100</f>
        <v>106.4814814814815</v>
      </c>
      <c r="AC12" s="119">
        <f>105.8-99.36</f>
        <v>6.439999999999998</v>
      </c>
      <c r="AD12" s="74" t="s">
        <v>322</v>
      </c>
      <c r="AE12" s="74" t="s">
        <v>330</v>
      </c>
      <c r="AF12" s="75">
        <f>(130.04/123.19)*100</f>
        <v>105.56051627567172</v>
      </c>
      <c r="AG12" s="119">
        <f>130.04-123.19</f>
        <v>6.849999999999994</v>
      </c>
    </row>
    <row r="13" spans="1:33" s="12" customFormat="1" ht="26.25" customHeight="1">
      <c r="A13" s="25" t="s">
        <v>12</v>
      </c>
      <c r="B13" s="74" t="s">
        <v>76</v>
      </c>
      <c r="C13" s="74" t="s">
        <v>283</v>
      </c>
      <c r="D13" s="75">
        <f>(16.88/10.18)*100</f>
        <v>165.81532416502947</v>
      </c>
      <c r="E13" s="119">
        <f>16.88-10.18</f>
        <v>6.699999999999999</v>
      </c>
      <c r="F13" s="74" t="s">
        <v>131</v>
      </c>
      <c r="G13" s="74" t="s">
        <v>131</v>
      </c>
      <c r="H13" s="74" t="s">
        <v>131</v>
      </c>
      <c r="I13" s="119" t="s">
        <v>131</v>
      </c>
      <c r="J13" s="171" t="s">
        <v>162</v>
      </c>
      <c r="K13" s="171" t="s">
        <v>238</v>
      </c>
      <c r="L13" s="75" t="s">
        <v>238</v>
      </c>
      <c r="M13" s="174" t="s">
        <v>238</v>
      </c>
      <c r="N13" s="173" t="s">
        <v>166</v>
      </c>
      <c r="O13" s="173" t="s">
        <v>238</v>
      </c>
      <c r="P13" s="75" t="s">
        <v>238</v>
      </c>
      <c r="Q13" s="174" t="s">
        <v>238</v>
      </c>
      <c r="R13" s="74" t="s">
        <v>77</v>
      </c>
      <c r="S13" s="74" t="s">
        <v>308</v>
      </c>
      <c r="T13" s="75">
        <f>(18.06-16.5)*100</f>
        <v>155.9999999999999</v>
      </c>
      <c r="U13" s="119">
        <f>18.06-16.5</f>
        <v>1.5599999999999987</v>
      </c>
      <c r="V13" s="74" t="s">
        <v>205</v>
      </c>
      <c r="W13" s="74" t="s">
        <v>319</v>
      </c>
      <c r="X13" s="75">
        <f>(87.55/145.91)*100</f>
        <v>60.00274141594133</v>
      </c>
      <c r="Y13" s="119">
        <f>87.55-145.91</f>
        <v>-58.36</v>
      </c>
      <c r="Z13" s="74" t="s">
        <v>126</v>
      </c>
      <c r="AA13" s="74" t="s">
        <v>324</v>
      </c>
      <c r="AB13" s="75">
        <v>100</v>
      </c>
      <c r="AC13" s="119">
        <v>0</v>
      </c>
      <c r="AD13" s="74" t="s">
        <v>217</v>
      </c>
      <c r="AE13" s="74" t="s">
        <v>331</v>
      </c>
      <c r="AF13" s="75">
        <f>(172.1/107.44)*100</f>
        <v>160.18242740134028</v>
      </c>
      <c r="AG13" s="119">
        <f>172.1-107.44</f>
        <v>64.66</v>
      </c>
    </row>
    <row r="14" spans="1:33" s="12" customFormat="1" ht="26.25" customHeight="1" thickBot="1">
      <c r="A14" s="26" t="s">
        <v>13</v>
      </c>
      <c r="B14" s="120" t="s">
        <v>189</v>
      </c>
      <c r="C14" s="120" t="s">
        <v>41</v>
      </c>
      <c r="D14" s="121">
        <v>100</v>
      </c>
      <c r="E14" s="122">
        <v>0</v>
      </c>
      <c r="F14" s="120">
        <v>102</v>
      </c>
      <c r="G14" s="120">
        <v>102</v>
      </c>
      <c r="H14" s="121">
        <f>(G14/F14)*100</f>
        <v>100</v>
      </c>
      <c r="I14" s="122">
        <v>0</v>
      </c>
      <c r="J14" s="172" t="s">
        <v>163</v>
      </c>
      <c r="K14" s="172" t="s">
        <v>301</v>
      </c>
      <c r="L14" s="121">
        <v>100</v>
      </c>
      <c r="M14" s="175">
        <v>0</v>
      </c>
      <c r="N14" s="177" t="s">
        <v>167</v>
      </c>
      <c r="O14" s="177" t="s">
        <v>296</v>
      </c>
      <c r="P14" s="121">
        <v>100</v>
      </c>
      <c r="Q14" s="175">
        <v>0</v>
      </c>
      <c r="R14" s="123" t="s">
        <v>202</v>
      </c>
      <c r="S14" s="123" t="s">
        <v>310</v>
      </c>
      <c r="T14" s="121">
        <v>100</v>
      </c>
      <c r="U14" s="122">
        <v>0</v>
      </c>
      <c r="V14" s="120" t="s">
        <v>208</v>
      </c>
      <c r="W14" s="120" t="s">
        <v>318</v>
      </c>
      <c r="X14" s="121">
        <v>100</v>
      </c>
      <c r="Y14" s="122">
        <v>0</v>
      </c>
      <c r="Z14" s="120" t="s">
        <v>127</v>
      </c>
      <c r="AA14" s="120" t="s">
        <v>327</v>
      </c>
      <c r="AB14" s="121">
        <v>100</v>
      </c>
      <c r="AC14" s="122">
        <v>0</v>
      </c>
      <c r="AD14" s="120" t="s">
        <v>113</v>
      </c>
      <c r="AE14" s="120" t="s">
        <v>113</v>
      </c>
      <c r="AF14" s="121">
        <f>(98.4/98.4)*100</f>
        <v>100</v>
      </c>
      <c r="AG14" s="122">
        <v>0</v>
      </c>
    </row>
    <row r="15" spans="1:21" s="12" customFormat="1" ht="17.25" customHeight="1">
      <c r="A15" s="57"/>
      <c r="B15" s="38"/>
      <c r="C15" s="58"/>
      <c r="D15" s="59"/>
      <c r="E15" s="38"/>
      <c r="F15" s="60"/>
      <c r="G15" s="60"/>
      <c r="H15" s="59"/>
      <c r="I15" s="58"/>
      <c r="J15" s="58"/>
      <c r="K15" s="58"/>
      <c r="L15" s="59"/>
      <c r="M15" s="58"/>
      <c r="N15" s="58"/>
      <c r="O15" s="58"/>
      <c r="P15" s="59"/>
      <c r="Q15" s="58"/>
      <c r="R15" s="38"/>
      <c r="S15" s="58"/>
      <c r="T15" s="59"/>
      <c r="U15" s="38"/>
    </row>
    <row r="16" spans="1:21" s="12" customFormat="1" ht="16.5" customHeight="1" hidden="1">
      <c r="A16" s="16" t="s">
        <v>288</v>
      </c>
      <c r="B16" s="1"/>
      <c r="C16" s="1"/>
      <c r="D16" s="1"/>
      <c r="E16" s="1"/>
      <c r="P16" s="59"/>
      <c r="Q16" s="58"/>
      <c r="R16" s="38"/>
      <c r="S16" s="58"/>
      <c r="T16" s="59"/>
      <c r="U16" s="38"/>
    </row>
    <row r="17" spans="1:21" s="12" customFormat="1" ht="20.25" customHeight="1">
      <c r="A17" s="302" t="s">
        <v>347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194"/>
      <c r="N17" s="194"/>
      <c r="O17" s="194"/>
      <c r="P17" s="59"/>
      <c r="Q17" s="58"/>
      <c r="R17" s="38"/>
      <c r="S17" s="58"/>
      <c r="T17" s="59"/>
      <c r="U17" s="38"/>
    </row>
    <row r="18" spans="1:15" ht="12.75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</row>
    <row r="19" spans="1:21" s="12" customFormat="1" ht="26.25" customHeight="1">
      <c r="A19" s="300"/>
      <c r="B19" s="300"/>
      <c r="C19" s="300"/>
      <c r="D19" s="300"/>
      <c r="E19" s="300"/>
      <c r="F19" s="300"/>
      <c r="G19" s="300"/>
      <c r="P19" s="59"/>
      <c r="Q19" s="58"/>
      <c r="R19" s="38"/>
      <c r="S19" s="58"/>
      <c r="T19" s="59"/>
      <c r="U19" s="38"/>
    </row>
    <row r="20" spans="8:21" ht="19.5" customHeight="1">
      <c r="H20" s="193"/>
      <c r="I20" s="193"/>
      <c r="J20" s="193"/>
      <c r="K20" s="193"/>
      <c r="L20" s="193"/>
      <c r="M20" s="193"/>
      <c r="N20" s="193"/>
      <c r="O20" s="193"/>
      <c r="Q20" s="301"/>
      <c r="R20" s="301"/>
      <c r="S20" s="301"/>
      <c r="T20" s="301"/>
      <c r="U20" s="301"/>
    </row>
    <row r="21" spans="18:25" ht="12.75">
      <c r="R21" s="178"/>
      <c r="S21" s="178"/>
      <c r="T21" s="179"/>
      <c r="U21" s="178"/>
      <c r="V21" s="178"/>
      <c r="W21" s="178"/>
      <c r="X21" s="179"/>
      <c r="Y21" s="178"/>
    </row>
    <row r="22" spans="18:25" ht="28.5" customHeight="1">
      <c r="R22" s="178"/>
      <c r="S22" s="178"/>
      <c r="T22" s="179"/>
      <c r="U22" s="178"/>
      <c r="V22" s="178"/>
      <c r="W22" s="178"/>
      <c r="X22" s="179"/>
      <c r="Y22" s="178"/>
    </row>
    <row r="23" spans="18:25" ht="12.75">
      <c r="R23" s="178"/>
      <c r="S23" s="178"/>
      <c r="T23" s="179"/>
      <c r="U23" s="178"/>
      <c r="V23" s="178"/>
      <c r="W23" s="178"/>
      <c r="X23" s="179"/>
      <c r="Y23" s="178"/>
    </row>
    <row r="24" spans="18:25" ht="30.75" customHeight="1">
      <c r="R24" s="178"/>
      <c r="S24" s="178"/>
      <c r="T24" s="179"/>
      <c r="U24" s="178"/>
      <c r="V24" s="178"/>
      <c r="W24" s="178"/>
      <c r="X24" s="179"/>
      <c r="Y24" s="178"/>
    </row>
    <row r="25" spans="18:25" ht="21" customHeight="1">
      <c r="R25" s="178"/>
      <c r="S25" s="178"/>
      <c r="T25" s="179"/>
      <c r="U25" s="178"/>
      <c r="V25" s="178"/>
      <c r="W25" s="178"/>
      <c r="X25" s="179"/>
      <c r="Y25" s="178"/>
    </row>
    <row r="26" spans="18:25" ht="21.75" customHeight="1">
      <c r="R26" s="178"/>
      <c r="S26" s="178"/>
      <c r="T26" s="179"/>
      <c r="U26" s="178"/>
      <c r="V26" s="178"/>
      <c r="W26" s="178"/>
      <c r="X26" s="179"/>
      <c r="Y26" s="178"/>
    </row>
    <row r="27" spans="18:25" ht="22.5" customHeight="1">
      <c r="R27" s="178"/>
      <c r="S27" s="178"/>
      <c r="T27" s="179"/>
      <c r="U27" s="178"/>
      <c r="V27" s="178"/>
      <c r="W27" s="178"/>
      <c r="X27" s="179"/>
      <c r="Y27" s="178"/>
    </row>
    <row r="45" spans="2:22" ht="18">
      <c r="B45" s="309" t="s">
        <v>99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</row>
    <row r="46" spans="2:22" ht="18">
      <c r="B46" s="309" t="s">
        <v>100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68"/>
    </row>
    <row r="47" spans="2:22" ht="18.75" thickBot="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</row>
    <row r="48" spans="1:21" ht="25.5">
      <c r="A48" s="22" t="s">
        <v>0</v>
      </c>
      <c r="B48" s="303" t="s">
        <v>1</v>
      </c>
      <c r="C48" s="304"/>
      <c r="D48" s="304"/>
      <c r="E48" s="305"/>
      <c r="F48" s="306" t="s">
        <v>89</v>
      </c>
      <c r="G48" s="307"/>
      <c r="H48" s="307"/>
      <c r="I48" s="308"/>
      <c r="J48" s="306" t="s">
        <v>90</v>
      </c>
      <c r="K48" s="307"/>
      <c r="L48" s="307"/>
      <c r="M48" s="308"/>
      <c r="N48" s="306" t="s">
        <v>3</v>
      </c>
      <c r="O48" s="307"/>
      <c r="P48" s="307"/>
      <c r="Q48" s="308"/>
      <c r="R48" s="304" t="s">
        <v>14</v>
      </c>
      <c r="S48" s="304"/>
      <c r="T48" s="304"/>
      <c r="U48" s="305"/>
    </row>
    <row r="49" spans="1:21" ht="60">
      <c r="A49" s="23" t="s">
        <v>4</v>
      </c>
      <c r="B49" s="39" t="s">
        <v>101</v>
      </c>
      <c r="C49" s="39" t="s">
        <v>97</v>
      </c>
      <c r="D49" s="2" t="s">
        <v>5</v>
      </c>
      <c r="E49" s="18" t="s">
        <v>15</v>
      </c>
      <c r="F49" s="39" t="s">
        <v>101</v>
      </c>
      <c r="G49" s="39" t="s">
        <v>97</v>
      </c>
      <c r="H49" s="40" t="s">
        <v>5</v>
      </c>
      <c r="I49" s="41" t="s">
        <v>15</v>
      </c>
      <c r="J49" s="39" t="s">
        <v>102</v>
      </c>
      <c r="K49" s="39" t="s">
        <v>98</v>
      </c>
      <c r="L49" s="40" t="s">
        <v>5</v>
      </c>
      <c r="M49" s="41" t="s">
        <v>15</v>
      </c>
      <c r="N49" s="39" t="s">
        <v>102</v>
      </c>
      <c r="O49" s="39" t="s">
        <v>98</v>
      </c>
      <c r="P49" s="40" t="s">
        <v>5</v>
      </c>
      <c r="Q49" s="41" t="s">
        <v>15</v>
      </c>
      <c r="R49" s="39" t="s">
        <v>102</v>
      </c>
      <c r="S49" s="39" t="s">
        <v>98</v>
      </c>
      <c r="T49" s="2" t="s">
        <v>5</v>
      </c>
      <c r="U49" s="18" t="s">
        <v>15</v>
      </c>
    </row>
    <row r="50" spans="1:21" ht="12.75">
      <c r="A50" s="24">
        <v>1</v>
      </c>
      <c r="B50" s="3">
        <v>2</v>
      </c>
      <c r="C50" s="3">
        <v>3</v>
      </c>
      <c r="D50" s="3">
        <v>4</v>
      </c>
      <c r="E50" s="19">
        <v>5</v>
      </c>
      <c r="F50" s="42">
        <v>6</v>
      </c>
      <c r="G50" s="42">
        <v>7</v>
      </c>
      <c r="H50" s="42">
        <v>8</v>
      </c>
      <c r="I50" s="55">
        <v>9</v>
      </c>
      <c r="J50" s="42">
        <v>10</v>
      </c>
      <c r="K50" s="42">
        <v>11</v>
      </c>
      <c r="L50" s="42">
        <v>12</v>
      </c>
      <c r="M50" s="55">
        <v>13</v>
      </c>
      <c r="N50" s="42">
        <v>14</v>
      </c>
      <c r="O50" s="42">
        <v>15</v>
      </c>
      <c r="P50" s="42">
        <v>16</v>
      </c>
      <c r="Q50" s="55">
        <v>17</v>
      </c>
      <c r="R50" s="3">
        <v>18</v>
      </c>
      <c r="S50" s="3">
        <v>19</v>
      </c>
      <c r="T50" s="3">
        <v>20</v>
      </c>
      <c r="U50" s="19">
        <v>21</v>
      </c>
    </row>
    <row r="51" spans="1:21" ht="13.5" thickBot="1">
      <c r="A51" s="69" t="s">
        <v>6</v>
      </c>
      <c r="B51" s="70">
        <v>16.38</v>
      </c>
      <c r="C51" s="70">
        <v>18.2</v>
      </c>
      <c r="D51" s="71">
        <f>C51/B51*100</f>
        <v>111.11111111111111</v>
      </c>
      <c r="E51" s="72">
        <f>C51-B51</f>
        <v>1.8200000000000003</v>
      </c>
      <c r="F51" s="70">
        <v>10.87</v>
      </c>
      <c r="G51" s="70">
        <v>14.5</v>
      </c>
      <c r="H51" s="71">
        <f>G51/F51*100</f>
        <v>133.39466421343147</v>
      </c>
      <c r="I51" s="73">
        <f>G51-F51</f>
        <v>3.630000000000001</v>
      </c>
      <c r="J51" s="70">
        <v>132.12</v>
      </c>
      <c r="K51" s="70">
        <v>132.12</v>
      </c>
      <c r="L51" s="71">
        <f>K51/J51*100</f>
        <v>100</v>
      </c>
      <c r="M51" s="73">
        <f>K51-J51</f>
        <v>0</v>
      </c>
      <c r="N51" s="70">
        <v>151.2</v>
      </c>
      <c r="O51" s="70">
        <v>151.2</v>
      </c>
      <c r="P51" s="71">
        <f>O51/N51*100</f>
        <v>100</v>
      </c>
      <c r="Q51" s="73">
        <f>O51-N51</f>
        <v>0</v>
      </c>
      <c r="R51" s="70">
        <v>128.87</v>
      </c>
      <c r="S51" s="70">
        <v>143.19</v>
      </c>
      <c r="T51" s="71">
        <f>S51/R51*100</f>
        <v>111.11197330643283</v>
      </c>
      <c r="U51" s="73">
        <f>S51-R51</f>
        <v>14.319999999999993</v>
      </c>
    </row>
    <row r="53" spans="1:16" ht="12.75">
      <c r="A53" s="310" t="s">
        <v>104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</row>
    <row r="59" ht="13.5" thickBot="1"/>
    <row r="60" ht="12.75">
      <c r="D60" s="22"/>
    </row>
    <row r="61" ht="12.75">
      <c r="D61" s="23"/>
    </row>
    <row r="62" ht="12.75">
      <c r="D62" s="24"/>
    </row>
    <row r="63" ht="12.75">
      <c r="D63" s="67"/>
    </row>
    <row r="64" ht="12.75">
      <c r="D64" s="25"/>
    </row>
    <row r="65" ht="12.75">
      <c r="D65" s="25"/>
    </row>
    <row r="66" ht="12.75">
      <c r="D66" s="25"/>
    </row>
    <row r="67" ht="12.75">
      <c r="D67" s="25"/>
    </row>
    <row r="68" ht="12.75">
      <c r="D68" s="25"/>
    </row>
    <row r="69" ht="12.75">
      <c r="D69" s="25"/>
    </row>
    <row r="70" ht="13.5" thickBot="1">
      <c r="D70" s="26"/>
    </row>
  </sheetData>
  <mergeCells count="22">
    <mergeCell ref="A53:P53"/>
    <mergeCell ref="R48:U48"/>
    <mergeCell ref="B45:V45"/>
    <mergeCell ref="B46:U46"/>
    <mergeCell ref="B48:E48"/>
    <mergeCell ref="F48:I48"/>
    <mergeCell ref="J48:M48"/>
    <mergeCell ref="N48:Q48"/>
    <mergeCell ref="AE1:AG1"/>
    <mergeCell ref="B4:E4"/>
    <mergeCell ref="F4:I4"/>
    <mergeCell ref="J4:M4"/>
    <mergeCell ref="N4:Q4"/>
    <mergeCell ref="A2:AE2"/>
    <mergeCell ref="R4:U4"/>
    <mergeCell ref="V4:Y4"/>
    <mergeCell ref="Z4:AC4"/>
    <mergeCell ref="AD4:AG4"/>
    <mergeCell ref="A18:O18"/>
    <mergeCell ref="A19:G19"/>
    <mergeCell ref="Q20:U20"/>
    <mergeCell ref="A17:L17"/>
  </mergeCells>
  <printOptions/>
  <pageMargins left="0.35" right="0" top="0.5905511811023623" bottom="0.7874015748031497" header="0.5118110236220472" footer="0.5118110236220472"/>
  <pageSetup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zoomScale="75" zoomScaleNormal="75" zoomScaleSheetLayoutView="100" workbookViewId="0" topLeftCell="A1">
      <selection activeCell="F24" sqref="F24"/>
    </sheetView>
  </sheetViews>
  <sheetFormatPr defaultColWidth="9.00390625" defaultRowHeight="12.75"/>
  <cols>
    <col min="1" max="1" width="3.625" style="13" customWidth="1"/>
    <col min="2" max="2" width="18.875" style="13" customWidth="1"/>
    <col min="3" max="3" width="15.875" style="13" customWidth="1"/>
    <col min="4" max="4" width="20.125" style="13" customWidth="1"/>
    <col min="5" max="5" width="16.375" style="13" customWidth="1"/>
    <col min="6" max="6" width="16.00390625" style="13" customWidth="1"/>
    <col min="7" max="7" width="13.625" style="13" customWidth="1"/>
    <col min="8" max="8" width="19.75390625" style="13" customWidth="1"/>
    <col min="9" max="16384" width="9.125" style="13" customWidth="1"/>
  </cols>
  <sheetData>
    <row r="1" ht="15.75">
      <c r="H1" s="15" t="s">
        <v>34</v>
      </c>
    </row>
    <row r="2" spans="1:8" s="14" customFormat="1" ht="34.5" customHeight="1">
      <c r="A2" s="311" t="s">
        <v>345</v>
      </c>
      <c r="B2" s="311"/>
      <c r="C2" s="311"/>
      <c r="D2" s="311"/>
      <c r="E2" s="311"/>
      <c r="F2" s="311"/>
      <c r="G2" s="311"/>
      <c r="H2" s="311"/>
    </row>
    <row r="4" spans="1:8" s="1" customFormat="1" ht="12.75">
      <c r="A4" s="266" t="s">
        <v>16</v>
      </c>
      <c r="B4" s="266" t="s">
        <v>17</v>
      </c>
      <c r="C4" s="266" t="s">
        <v>18</v>
      </c>
      <c r="D4" s="266"/>
      <c r="E4" s="266"/>
      <c r="F4" s="266"/>
      <c r="G4" s="266"/>
      <c r="H4" s="266"/>
    </row>
    <row r="5" spans="1:8" s="1" customFormat="1" ht="30.75" customHeight="1">
      <c r="A5" s="266"/>
      <c r="B5" s="266"/>
      <c r="C5" s="266" t="s">
        <v>45</v>
      </c>
      <c r="D5" s="266"/>
      <c r="E5" s="266"/>
      <c r="F5" s="266" t="s">
        <v>53</v>
      </c>
      <c r="G5" s="266"/>
      <c r="H5" s="266"/>
    </row>
    <row r="6" spans="1:8" s="1" customFormat="1" ht="38.25">
      <c r="A6" s="266"/>
      <c r="B6" s="266"/>
      <c r="C6" s="2" t="s">
        <v>19</v>
      </c>
      <c r="D6" s="2" t="s">
        <v>21</v>
      </c>
      <c r="E6" s="2" t="s">
        <v>20</v>
      </c>
      <c r="F6" s="2" t="s">
        <v>19</v>
      </c>
      <c r="G6" s="2" t="s">
        <v>21</v>
      </c>
      <c r="H6" s="2" t="s">
        <v>20</v>
      </c>
    </row>
    <row r="7" spans="1:8" s="1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s="1" customFormat="1" ht="12.75">
      <c r="A8" s="266">
        <v>1</v>
      </c>
      <c r="B8" s="315" t="s">
        <v>6</v>
      </c>
      <c r="C8" s="316">
        <v>100</v>
      </c>
      <c r="D8" s="312">
        <v>2926.89</v>
      </c>
      <c r="E8" s="312" t="s">
        <v>25</v>
      </c>
      <c r="F8" s="313">
        <v>100</v>
      </c>
      <c r="G8" s="312">
        <v>2926.89</v>
      </c>
      <c r="H8" s="312" t="s">
        <v>25</v>
      </c>
    </row>
    <row r="9" spans="1:8" s="1" customFormat="1" ht="12.75">
      <c r="A9" s="266"/>
      <c r="B9" s="315"/>
      <c r="C9" s="316"/>
      <c r="D9" s="312"/>
      <c r="E9" s="312"/>
      <c r="F9" s="313"/>
      <c r="G9" s="312"/>
      <c r="H9" s="312"/>
    </row>
    <row r="10" spans="1:8" s="1" customFormat="1" ht="12.75">
      <c r="A10" s="266">
        <v>2</v>
      </c>
      <c r="B10" s="315" t="s">
        <v>22</v>
      </c>
      <c r="C10" s="316">
        <v>100</v>
      </c>
      <c r="D10" s="317">
        <v>2464.92</v>
      </c>
      <c r="E10" s="312" t="s">
        <v>27</v>
      </c>
      <c r="F10" s="313">
        <v>100</v>
      </c>
      <c r="G10" s="317">
        <v>2464.92</v>
      </c>
      <c r="H10" s="312" t="s">
        <v>27</v>
      </c>
    </row>
    <row r="11" spans="1:8" s="1" customFormat="1" ht="12.75">
      <c r="A11" s="266"/>
      <c r="B11" s="315"/>
      <c r="C11" s="316"/>
      <c r="D11" s="317"/>
      <c r="E11" s="312"/>
      <c r="F11" s="313"/>
      <c r="G11" s="317"/>
      <c r="H11" s="312"/>
    </row>
    <row r="12" spans="1:8" s="1" customFormat="1" ht="12.75">
      <c r="A12" s="266">
        <v>3</v>
      </c>
      <c r="B12" s="315" t="s">
        <v>23</v>
      </c>
      <c r="C12" s="316" t="s">
        <v>343</v>
      </c>
      <c r="D12" s="312">
        <v>2467.32</v>
      </c>
      <c r="E12" s="318" t="s">
        <v>32</v>
      </c>
      <c r="F12" s="313">
        <v>100</v>
      </c>
      <c r="G12" s="317">
        <v>2520.95</v>
      </c>
      <c r="H12" s="318" t="s">
        <v>32</v>
      </c>
    </row>
    <row r="13" spans="1:8" s="1" customFormat="1" ht="12.75">
      <c r="A13" s="266"/>
      <c r="B13" s="315"/>
      <c r="C13" s="316"/>
      <c r="D13" s="312"/>
      <c r="E13" s="318"/>
      <c r="F13" s="313"/>
      <c r="G13" s="317"/>
      <c r="H13" s="318"/>
    </row>
    <row r="14" spans="1:8" s="1" customFormat="1" ht="12.75">
      <c r="A14" s="266">
        <v>4</v>
      </c>
      <c r="B14" s="315" t="s">
        <v>9</v>
      </c>
      <c r="C14" s="316" t="s">
        <v>344</v>
      </c>
      <c r="D14" s="317">
        <v>4676.1</v>
      </c>
      <c r="E14" s="312" t="s">
        <v>31</v>
      </c>
      <c r="F14" s="316">
        <v>100</v>
      </c>
      <c r="G14" s="317">
        <v>4716.32</v>
      </c>
      <c r="H14" s="312" t="s">
        <v>31</v>
      </c>
    </row>
    <row r="15" spans="1:8" s="1" customFormat="1" ht="12.75">
      <c r="A15" s="266"/>
      <c r="B15" s="315"/>
      <c r="C15" s="316"/>
      <c r="D15" s="317"/>
      <c r="E15" s="312"/>
      <c r="F15" s="316"/>
      <c r="G15" s="317"/>
      <c r="H15" s="312"/>
    </row>
    <row r="16" spans="1:8" s="1" customFormat="1" ht="12.75">
      <c r="A16" s="266">
        <v>5</v>
      </c>
      <c r="B16" s="315" t="s">
        <v>10</v>
      </c>
      <c r="C16" s="316">
        <v>100</v>
      </c>
      <c r="D16" s="312">
        <v>3103.95</v>
      </c>
      <c r="E16" s="318" t="s">
        <v>30</v>
      </c>
      <c r="F16" s="313">
        <v>100</v>
      </c>
      <c r="G16" s="317">
        <v>3103.95</v>
      </c>
      <c r="H16" s="318" t="s">
        <v>30</v>
      </c>
    </row>
    <row r="17" spans="1:8" s="1" customFormat="1" ht="12.75">
      <c r="A17" s="266"/>
      <c r="B17" s="315"/>
      <c r="C17" s="316"/>
      <c r="D17" s="312"/>
      <c r="E17" s="318"/>
      <c r="F17" s="313"/>
      <c r="G17" s="317"/>
      <c r="H17" s="318"/>
    </row>
    <row r="18" spans="1:8" s="1" customFormat="1" ht="12.75">
      <c r="A18" s="266">
        <v>6</v>
      </c>
      <c r="B18" s="315" t="s">
        <v>11</v>
      </c>
      <c r="C18" s="316">
        <v>100</v>
      </c>
      <c r="D18" s="312">
        <v>2776.98</v>
      </c>
      <c r="E18" s="312" t="s">
        <v>29</v>
      </c>
      <c r="F18" s="313">
        <v>100</v>
      </c>
      <c r="G18" s="317">
        <v>2776.98</v>
      </c>
      <c r="H18" s="312" t="s">
        <v>29</v>
      </c>
    </row>
    <row r="19" spans="1:8" s="1" customFormat="1" ht="12.75">
      <c r="A19" s="266"/>
      <c r="B19" s="315"/>
      <c r="C19" s="316"/>
      <c r="D19" s="312"/>
      <c r="E19" s="312"/>
      <c r="F19" s="313"/>
      <c r="G19" s="317"/>
      <c r="H19" s="312"/>
    </row>
    <row r="20" spans="1:8" s="1" customFormat="1" ht="12.75">
      <c r="A20" s="266">
        <v>7</v>
      </c>
      <c r="B20" s="315" t="s">
        <v>12</v>
      </c>
      <c r="C20" s="316">
        <v>100</v>
      </c>
      <c r="D20" s="312">
        <v>3281.91</v>
      </c>
      <c r="E20" s="312" t="s">
        <v>28</v>
      </c>
      <c r="F20" s="313">
        <v>100</v>
      </c>
      <c r="G20" s="317">
        <v>3281.91</v>
      </c>
      <c r="H20" s="312" t="s">
        <v>28</v>
      </c>
    </row>
    <row r="21" spans="1:8" s="1" customFormat="1" ht="12.75">
      <c r="A21" s="266"/>
      <c r="B21" s="315"/>
      <c r="C21" s="316"/>
      <c r="D21" s="312"/>
      <c r="E21" s="312"/>
      <c r="F21" s="313"/>
      <c r="G21" s="317"/>
      <c r="H21" s="312"/>
    </row>
    <row r="22" spans="1:8" s="1" customFormat="1" ht="12.75">
      <c r="A22" s="266">
        <v>8</v>
      </c>
      <c r="B22" s="315" t="s">
        <v>13</v>
      </c>
      <c r="C22" s="316" t="s">
        <v>218</v>
      </c>
      <c r="D22" s="317">
        <v>2699.1</v>
      </c>
      <c r="E22" s="312" t="s">
        <v>26</v>
      </c>
      <c r="F22" s="313">
        <v>100</v>
      </c>
      <c r="G22" s="317">
        <v>2721.03</v>
      </c>
      <c r="H22" s="312" t="s">
        <v>26</v>
      </c>
    </row>
    <row r="23" spans="1:8" s="1" customFormat="1" ht="12.75">
      <c r="A23" s="266"/>
      <c r="B23" s="315"/>
      <c r="C23" s="316"/>
      <c r="D23" s="317"/>
      <c r="E23" s="312"/>
      <c r="F23" s="313"/>
      <c r="G23" s="317"/>
      <c r="H23" s="312"/>
    </row>
    <row r="26" spans="1:8" ht="27.75" customHeight="1">
      <c r="A26" s="314" t="s">
        <v>346</v>
      </c>
      <c r="B26" s="314"/>
      <c r="C26" s="314"/>
      <c r="D26" s="314"/>
      <c r="E26" s="314"/>
      <c r="F26" s="314"/>
      <c r="G26" s="314"/>
      <c r="H26" s="314"/>
    </row>
    <row r="27" ht="12.75">
      <c r="E27" s="259"/>
    </row>
    <row r="28" ht="12.75">
      <c r="E28" s="259"/>
    </row>
    <row r="29" ht="12.75">
      <c r="E29" s="259"/>
    </row>
    <row r="30" ht="12.75">
      <c r="E30" s="259"/>
    </row>
    <row r="31" ht="12.75">
      <c r="E31" s="259"/>
    </row>
    <row r="32" ht="12.75">
      <c r="E32" s="259"/>
    </row>
    <row r="33" ht="12.75">
      <c r="E33" s="259"/>
    </row>
    <row r="34" ht="12.75">
      <c r="E34" s="259"/>
    </row>
    <row r="35" ht="12.75">
      <c r="E35" s="259"/>
    </row>
    <row r="36" ht="12.75">
      <c r="E36" s="259"/>
    </row>
    <row r="37" ht="12.75">
      <c r="E37" s="259"/>
    </row>
    <row r="38" ht="12.75">
      <c r="E38" s="259"/>
    </row>
    <row r="39" ht="12.75">
      <c r="E39" s="259"/>
    </row>
    <row r="40" ht="12.75">
      <c r="E40" s="259"/>
    </row>
    <row r="41" ht="12.75">
      <c r="E41" s="259"/>
    </row>
    <row r="42" ht="12.75">
      <c r="E42" s="259"/>
    </row>
    <row r="43" ht="12.75">
      <c r="E43" s="65"/>
    </row>
  </sheetData>
  <mergeCells count="79">
    <mergeCell ref="G22:G23"/>
    <mergeCell ref="H22:H23"/>
    <mergeCell ref="F18:F19"/>
    <mergeCell ref="A22:A23"/>
    <mergeCell ref="B22:B23"/>
    <mergeCell ref="C22:C23"/>
    <mergeCell ref="D22:D23"/>
    <mergeCell ref="E22:E23"/>
    <mergeCell ref="F22:F23"/>
    <mergeCell ref="E20:E21"/>
    <mergeCell ref="H16:H17"/>
    <mergeCell ref="A20:A21"/>
    <mergeCell ref="B20:B21"/>
    <mergeCell ref="C20:C21"/>
    <mergeCell ref="D20:D21"/>
    <mergeCell ref="H18:H19"/>
    <mergeCell ref="H20:H21"/>
    <mergeCell ref="F16:F17"/>
    <mergeCell ref="B16:B17"/>
    <mergeCell ref="E16:E17"/>
    <mergeCell ref="F20:F21"/>
    <mergeCell ref="G20:G21"/>
    <mergeCell ref="C16:C17"/>
    <mergeCell ref="D16:D17"/>
    <mergeCell ref="G16:G17"/>
    <mergeCell ref="E18:E19"/>
    <mergeCell ref="G18:G19"/>
    <mergeCell ref="A18:A19"/>
    <mergeCell ref="B18:B19"/>
    <mergeCell ref="C18:C19"/>
    <mergeCell ref="D18:D19"/>
    <mergeCell ref="A16:A17"/>
    <mergeCell ref="A14:A15"/>
    <mergeCell ref="B14:B15"/>
    <mergeCell ref="D14:D15"/>
    <mergeCell ref="E10:E11"/>
    <mergeCell ref="E12:E13"/>
    <mergeCell ref="E14:E15"/>
    <mergeCell ref="C12:C13"/>
    <mergeCell ref="C14:C15"/>
    <mergeCell ref="F8:F9"/>
    <mergeCell ref="F14:F15"/>
    <mergeCell ref="G14:G15"/>
    <mergeCell ref="H14:H15"/>
    <mergeCell ref="F12:F13"/>
    <mergeCell ref="G12:G13"/>
    <mergeCell ref="H12:H13"/>
    <mergeCell ref="G10:G11"/>
    <mergeCell ref="G8:G9"/>
    <mergeCell ref="H10:H11"/>
    <mergeCell ref="D8:D9"/>
    <mergeCell ref="A12:A13"/>
    <mergeCell ref="B12:B13"/>
    <mergeCell ref="D12:D13"/>
    <mergeCell ref="C10:C11"/>
    <mergeCell ref="E8:E9"/>
    <mergeCell ref="F10:F11"/>
    <mergeCell ref="A26:H26"/>
    <mergeCell ref="A8:A9"/>
    <mergeCell ref="B8:B9"/>
    <mergeCell ref="C8:C9"/>
    <mergeCell ref="H8:H9"/>
    <mergeCell ref="A10:A11"/>
    <mergeCell ref="B10:B11"/>
    <mergeCell ref="D10:D11"/>
    <mergeCell ref="A2:H2"/>
    <mergeCell ref="A4:A6"/>
    <mergeCell ref="B4:B6"/>
    <mergeCell ref="C4:H4"/>
    <mergeCell ref="C5:E5"/>
    <mergeCell ref="F5:H5"/>
    <mergeCell ref="E27:E28"/>
    <mergeCell ref="E29:E30"/>
    <mergeCell ref="E31:E32"/>
    <mergeCell ref="E33:E34"/>
    <mergeCell ref="E35:E36"/>
    <mergeCell ref="E37:E38"/>
    <mergeCell ref="E39:E40"/>
    <mergeCell ref="E41:E42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ђ®ббЇҐжвҐе­ЁЄ </dc:creator>
  <cp:keywords/>
  <dc:description/>
  <cp:lastModifiedBy>user</cp:lastModifiedBy>
  <cp:lastPrinted>2006-03-02T06:36:23Z</cp:lastPrinted>
  <dcterms:created xsi:type="dcterms:W3CDTF">2002-06-05T04:44:50Z</dcterms:created>
  <dcterms:modified xsi:type="dcterms:W3CDTF">2006-03-03T11:05:05Z</dcterms:modified>
  <cp:category/>
  <cp:version/>
  <cp:contentType/>
  <cp:contentStatus/>
</cp:coreProperties>
</file>