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ГЗ от 15.03.22\"/>
    </mc:Choice>
  </mc:AlternateContent>
  <bookViews>
    <workbookView xWindow="-120" yWindow="-60" windowWidth="29040" windowHeight="15780"/>
  </bookViews>
  <sheets>
    <sheet name="Приложение 1 (44-ФЗ)" sheetId="2" r:id="rId1"/>
  </sheets>
  <definedNames>
    <definedName name="_xlnm._FilterDatabase" localSheetId="0" hidden="1">'Приложение 1 (44-ФЗ)'!#REF!</definedName>
    <definedName name="_xlnm.Print_Titles" localSheetId="0">'Приложение 1 (44-ФЗ)'!$8:$8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59" i="2" l="1"/>
  <c r="F2159" i="2"/>
  <c r="G2157" i="2"/>
  <c r="F2157" i="2"/>
  <c r="I2209" i="2" l="1"/>
  <c r="F2209" i="2"/>
  <c r="H2186" i="2"/>
  <c r="F2186" i="2"/>
  <c r="G2167" i="2"/>
  <c r="F2167" i="2"/>
  <c r="I2085" i="2" l="1"/>
  <c r="H2070" i="2"/>
  <c r="I2226" i="2" l="1"/>
  <c r="H2225" i="2"/>
  <c r="G2224" i="2"/>
  <c r="I2165" i="2" l="1"/>
  <c r="F2165" i="2"/>
  <c r="H2163" i="2"/>
  <c r="F2163" i="2"/>
  <c r="G2161" i="2"/>
  <c r="F2161" i="2"/>
  <c r="F2152" i="2"/>
  <c r="G2152" i="2" s="1"/>
  <c r="H2151" i="2"/>
  <c r="G2151" i="2"/>
  <c r="F2151" i="2"/>
  <c r="G2150" i="2"/>
  <c r="F2150" i="2"/>
  <c r="F2149" i="2"/>
  <c r="G2149" i="2" s="1"/>
  <c r="H2148" i="2"/>
  <c r="G2148" i="2"/>
  <c r="F2148" i="2"/>
  <c r="F2147" i="2"/>
  <c r="G2147" i="2" s="1"/>
  <c r="H2146" i="2"/>
  <c r="G2146" i="2"/>
  <c r="F2146" i="2"/>
  <c r="F2145" i="2"/>
  <c r="G2145" i="2" s="1"/>
  <c r="G2144" i="2"/>
  <c r="F2144" i="2"/>
  <c r="G2143" i="2"/>
  <c r="F2143" i="2"/>
  <c r="H2142" i="2"/>
  <c r="G2142" i="2"/>
  <c r="F2142" i="2"/>
  <c r="F2141" i="2"/>
  <c r="G2141" i="2" s="1"/>
  <c r="F2140" i="2"/>
  <c r="G2140" i="2" s="1"/>
  <c r="G2139" i="2"/>
  <c r="F2139" i="2"/>
  <c r="H2138" i="2"/>
  <c r="G2138" i="2"/>
  <c r="F2138" i="2"/>
  <c r="F2137" i="2"/>
  <c r="G2137" i="2" s="1"/>
  <c r="H2136" i="2"/>
  <c r="G2136" i="2"/>
  <c r="F2136" i="2"/>
  <c r="H2135" i="2"/>
  <c r="G2135" i="2"/>
  <c r="F2135" i="2"/>
  <c r="H2134" i="2"/>
  <c r="G2134" i="2"/>
  <c r="F2134" i="2"/>
  <c r="G2133" i="2"/>
  <c r="F2133" i="2"/>
  <c r="F2131" i="2"/>
  <c r="G2131" i="2" s="1"/>
  <c r="H2130" i="2"/>
  <c r="G2130" i="2"/>
  <c r="F2130" i="2"/>
  <c r="G2129" i="2"/>
  <c r="F2129" i="2"/>
  <c r="F2128" i="2"/>
  <c r="G2128" i="2" s="1"/>
  <c r="H2127" i="2"/>
  <c r="G2127" i="2"/>
  <c r="F2127" i="2"/>
  <c r="G2126" i="2"/>
  <c r="F2126" i="2"/>
  <c r="H2125" i="2"/>
  <c r="G2125" i="2"/>
  <c r="F2125" i="2"/>
  <c r="G2124" i="2"/>
  <c r="F2124" i="2"/>
  <c r="F2123" i="2"/>
  <c r="G2123" i="2" s="1"/>
  <c r="G2122" i="2"/>
  <c r="F2122" i="2"/>
  <c r="G2121" i="2"/>
  <c r="F2121" i="2"/>
  <c r="H2120" i="2"/>
  <c r="G2120" i="2"/>
  <c r="F2120" i="2"/>
  <c r="F2119" i="2"/>
  <c r="G2119" i="2" s="1"/>
  <c r="F2118" i="2"/>
  <c r="G2118" i="2" s="1"/>
  <c r="G2117" i="2"/>
  <c r="F2117" i="2"/>
  <c r="H2116" i="2"/>
  <c r="G2116" i="2"/>
  <c r="F2116" i="2"/>
  <c r="F2115" i="2"/>
  <c r="G2115" i="2" s="1"/>
  <c r="H2114" i="2"/>
  <c r="G2114" i="2"/>
  <c r="F2114" i="2"/>
  <c r="H2113" i="2"/>
  <c r="G2113" i="2"/>
  <c r="F2113" i="2"/>
  <c r="F2112" i="2"/>
  <c r="G2112" i="2" s="1"/>
  <c r="H2111" i="2"/>
  <c r="G2111" i="2"/>
  <c r="F2111" i="2"/>
  <c r="H2110" i="2"/>
  <c r="G2110" i="2"/>
  <c r="F2110" i="2"/>
  <c r="F2108" i="2"/>
  <c r="G2108" i="2" s="1"/>
  <c r="F2107" i="2"/>
  <c r="G2107" i="2" s="1"/>
  <c r="F2106" i="2"/>
  <c r="G2106" i="2" s="1"/>
  <c r="G2105" i="2"/>
  <c r="F2105" i="2"/>
  <c r="G2104" i="2"/>
  <c r="F2104" i="2"/>
  <c r="G2103" i="2"/>
  <c r="F2103" i="2"/>
  <c r="F2102" i="2"/>
  <c r="G2102" i="2" s="1"/>
  <c r="G2101" i="2"/>
  <c r="F2101" i="2"/>
  <c r="F2100" i="2"/>
  <c r="G2100" i="2" s="1"/>
  <c r="G2099" i="2"/>
  <c r="F2099" i="2"/>
  <c r="G2098" i="2"/>
  <c r="F2098" i="2"/>
  <c r="F2097" i="2"/>
  <c r="G2097" i="2" s="1"/>
  <c r="F2096" i="2"/>
  <c r="G2096" i="2" s="1"/>
  <c r="F2095" i="2"/>
  <c r="G2095" i="2" s="1"/>
  <c r="F2094" i="2"/>
  <c r="G2094" i="2" s="1"/>
  <c r="F2093" i="2"/>
  <c r="G2093" i="2" s="1"/>
  <c r="F2092" i="2"/>
  <c r="G2092" i="2" s="1"/>
  <c r="G2091" i="2"/>
  <c r="F2091" i="2"/>
  <c r="F2090" i="2"/>
  <c r="G2090" i="2" s="1"/>
  <c r="F2089" i="2"/>
  <c r="G2089" i="2" s="1"/>
  <c r="G2088" i="2"/>
  <c r="F2088" i="2"/>
  <c r="F2087" i="2"/>
  <c r="G2087" i="2" s="1"/>
  <c r="F2086" i="2"/>
  <c r="G2086" i="2" s="1"/>
  <c r="H2133" i="2" l="1"/>
  <c r="G2109" i="2"/>
  <c r="H2117" i="2"/>
  <c r="H2132" i="2" s="1"/>
  <c r="G2153" i="2"/>
  <c r="H2139" i="2"/>
  <c r="H2153" i="2" s="1"/>
  <c r="G2132" i="2"/>
  <c r="I2004" i="2" l="1"/>
  <c r="H2001" i="2"/>
  <c r="G1998" i="2"/>
  <c r="F2085" i="2" l="1"/>
  <c r="I2070" i="2"/>
  <c r="F2070" i="2"/>
  <c r="J2048" i="2"/>
  <c r="I2048" i="2"/>
  <c r="H2048" i="2"/>
  <c r="G2048" i="2"/>
  <c r="F2048" i="2"/>
  <c r="G1432" i="2"/>
  <c r="H1432" i="2"/>
  <c r="I1432" i="2"/>
  <c r="J1432" i="2"/>
  <c r="A1158" i="2" l="1"/>
  <c r="J1994" i="2" l="1"/>
  <c r="I1994" i="2"/>
  <c r="H1994" i="2"/>
  <c r="G1994" i="2"/>
  <c r="F1994" i="2"/>
  <c r="J1990" i="2"/>
  <c r="I1990" i="2"/>
  <c r="H1990" i="2"/>
  <c r="G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J1962" i="2"/>
  <c r="I1962" i="2"/>
  <c r="H1962" i="2"/>
  <c r="G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J1906" i="2"/>
  <c r="I1906" i="2"/>
  <c r="H1906" i="2"/>
  <c r="G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J1833" i="2"/>
  <c r="I1833" i="2"/>
  <c r="H1833" i="2"/>
  <c r="G1833" i="2"/>
  <c r="F1832" i="2"/>
  <c r="F1833" i="2" s="1"/>
  <c r="J1831" i="2"/>
  <c r="I1831" i="2"/>
  <c r="H1831" i="2"/>
  <c r="G1831" i="2"/>
  <c r="F1831" i="2"/>
  <c r="J1823" i="2"/>
  <c r="I1823" i="2"/>
  <c r="G1823" i="2"/>
  <c r="F1823" i="2"/>
  <c r="H1817" i="2"/>
  <c r="H1810" i="2"/>
  <c r="J1807" i="2"/>
  <c r="I1805" i="2"/>
  <c r="I1807" i="2" s="1"/>
  <c r="F1804" i="2"/>
  <c r="F1807" i="2" s="1"/>
  <c r="H1801" i="2"/>
  <c r="H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J1781" i="2"/>
  <c r="I1781" i="2"/>
  <c r="H1781" i="2"/>
  <c r="G1781" i="2"/>
  <c r="F1781" i="2"/>
  <c r="J1762" i="2"/>
  <c r="I1762" i="2"/>
  <c r="H1762" i="2"/>
  <c r="G1762" i="2"/>
  <c r="F1762" i="2"/>
  <c r="J1744" i="2"/>
  <c r="I1744" i="2"/>
  <c r="H1744" i="2"/>
  <c r="G1744" i="2"/>
  <c r="F1744" i="2"/>
  <c r="J1726" i="2"/>
  <c r="I1726" i="2"/>
  <c r="H1726" i="2"/>
  <c r="G1726" i="2"/>
  <c r="F1726" i="2"/>
  <c r="J1710" i="2"/>
  <c r="H1710" i="2"/>
  <c r="G1710" i="2"/>
  <c r="I1709" i="2"/>
  <c r="F1709" i="2" s="1"/>
  <c r="I1708" i="2"/>
  <c r="F1708" i="2" s="1"/>
  <c r="I1707" i="2"/>
  <c r="F1707" i="2" s="1"/>
  <c r="I1706" i="2"/>
  <c r="F1706" i="2" s="1"/>
  <c r="I1705" i="2"/>
  <c r="F1705" i="2" s="1"/>
  <c r="I1704" i="2"/>
  <c r="F1704" i="2" s="1"/>
  <c r="I1703" i="2"/>
  <c r="F1703" i="2" s="1"/>
  <c r="I1702" i="2"/>
  <c r="F1702" i="2" s="1"/>
  <c r="I1701" i="2"/>
  <c r="F1701" i="2" s="1"/>
  <c r="I1700" i="2"/>
  <c r="F1700" i="2" s="1"/>
  <c r="I1699" i="2"/>
  <c r="F1699" i="2" s="1"/>
  <c r="I1698" i="2"/>
  <c r="F1698" i="2" s="1"/>
  <c r="I1697" i="2"/>
  <c r="F1697" i="2" s="1"/>
  <c r="I1696" i="2"/>
  <c r="F1696" i="2" s="1"/>
  <c r="I1695" i="2"/>
  <c r="F1695" i="2" s="1"/>
  <c r="I1694" i="2"/>
  <c r="F1694" i="2" s="1"/>
  <c r="I1693" i="2"/>
  <c r="F1693" i="2" s="1"/>
  <c r="I1692" i="2"/>
  <c r="F1692" i="2" s="1"/>
  <c r="I1691" i="2"/>
  <c r="F1691" i="2" s="1"/>
  <c r="I1690" i="2"/>
  <c r="F1690" i="2" s="1"/>
  <c r="I1689" i="2"/>
  <c r="F1689" i="2" s="1"/>
  <c r="I1688" i="2"/>
  <c r="F1688" i="2" s="1"/>
  <c r="I1687" i="2"/>
  <c r="F1687" i="2" s="1"/>
  <c r="I1686" i="2"/>
  <c r="F1686" i="2" s="1"/>
  <c r="I1685" i="2"/>
  <c r="F1685" i="2" s="1"/>
  <c r="I1684" i="2"/>
  <c r="F1684" i="2" s="1"/>
  <c r="I1683" i="2"/>
  <c r="F1683" i="2" s="1"/>
  <c r="I1682" i="2"/>
  <c r="F1682" i="2" s="1"/>
  <c r="I1681" i="2"/>
  <c r="F1681" i="2" s="1"/>
  <c r="I1680" i="2"/>
  <c r="F1680" i="2" s="1"/>
  <c r="I1679" i="2"/>
  <c r="F1679" i="2" s="1"/>
  <c r="I1678" i="2"/>
  <c r="F1678" i="2" s="1"/>
  <c r="I1677" i="2"/>
  <c r="F1677" i="2" s="1"/>
  <c r="I1676" i="2"/>
  <c r="F1676" i="2" s="1"/>
  <c r="I1675" i="2"/>
  <c r="F1675" i="2" s="1"/>
  <c r="I1674" i="2"/>
  <c r="F1674" i="2" s="1"/>
  <c r="I1673" i="2"/>
  <c r="F1673" i="2" s="1"/>
  <c r="J1672" i="2"/>
  <c r="G1672" i="2"/>
  <c r="H1671" i="2"/>
  <c r="F1671" i="2" s="1"/>
  <c r="H1670" i="2"/>
  <c r="F1670" i="2" s="1"/>
  <c r="I1669" i="2"/>
  <c r="H1669" i="2"/>
  <c r="H1668" i="2"/>
  <c r="F1668" i="2" s="1"/>
  <c r="H1667" i="2"/>
  <c r="F1667" i="2" s="1"/>
  <c r="H1666" i="2"/>
  <c r="F1666" i="2" s="1"/>
  <c r="H1665" i="2"/>
  <c r="F1665" i="2" s="1"/>
  <c r="H1664" i="2"/>
  <c r="F1664" i="2" s="1"/>
  <c r="I1663" i="2"/>
  <c r="H1663" i="2"/>
  <c r="H1662" i="2"/>
  <c r="F1662" i="2" s="1"/>
  <c r="H1661" i="2"/>
  <c r="F1661" i="2" s="1"/>
  <c r="H1660" i="2"/>
  <c r="F1660" i="2" s="1"/>
  <c r="H1659" i="2"/>
  <c r="F1659" i="2" s="1"/>
  <c r="H1658" i="2"/>
  <c r="F1658" i="2" s="1"/>
  <c r="H1657" i="2"/>
  <c r="F1657" i="2" s="1"/>
  <c r="H1656" i="2"/>
  <c r="F1656" i="2" s="1"/>
  <c r="H1655" i="2"/>
  <c r="F1655" i="2" s="1"/>
  <c r="H1654" i="2"/>
  <c r="F1654" i="2" s="1"/>
  <c r="I1653" i="2"/>
  <c r="H1653" i="2"/>
  <c r="I1652" i="2"/>
  <c r="H1652" i="2"/>
  <c r="I1651" i="2"/>
  <c r="H1651" i="2"/>
  <c r="H1650" i="2"/>
  <c r="F1650" i="2" s="1"/>
  <c r="H1649" i="2"/>
  <c r="F1649" i="2" s="1"/>
  <c r="I1648" i="2"/>
  <c r="H1648" i="2"/>
  <c r="I1647" i="2"/>
  <c r="H1647" i="2"/>
  <c r="I1646" i="2"/>
  <c r="H1646" i="2"/>
  <c r="I1645" i="2"/>
  <c r="H1645" i="2"/>
  <c r="I1644" i="2"/>
  <c r="H1644" i="2"/>
  <c r="I1643" i="2"/>
  <c r="H1643" i="2"/>
  <c r="I1642" i="2"/>
  <c r="H1642" i="2"/>
  <c r="I1641" i="2"/>
  <c r="H1641" i="2"/>
  <c r="I1640" i="2"/>
  <c r="H1640" i="2"/>
  <c r="I1639" i="2"/>
  <c r="H1639" i="2"/>
  <c r="I1638" i="2"/>
  <c r="H1638" i="2"/>
  <c r="H1637" i="2"/>
  <c r="F1637" i="2" s="1"/>
  <c r="I1636" i="2"/>
  <c r="H1636" i="2"/>
  <c r="I1635" i="2"/>
  <c r="H1635" i="2"/>
  <c r="H1634" i="2"/>
  <c r="F1634" i="2" s="1"/>
  <c r="I1633" i="2"/>
  <c r="H1633" i="2"/>
  <c r="J1632" i="2"/>
  <c r="I1632" i="2"/>
  <c r="H1631" i="2"/>
  <c r="G1631" i="2"/>
  <c r="H1630" i="2"/>
  <c r="G1630" i="2"/>
  <c r="G1629" i="2"/>
  <c r="F1629" i="2" s="1"/>
  <c r="G1628" i="2"/>
  <c r="F1628" i="2" s="1"/>
  <c r="G1627" i="2"/>
  <c r="F1627" i="2" s="1"/>
  <c r="G1626" i="2"/>
  <c r="F1626" i="2" s="1"/>
  <c r="G1625" i="2"/>
  <c r="F1625" i="2" s="1"/>
  <c r="G1624" i="2"/>
  <c r="F1624" i="2" s="1"/>
  <c r="G1623" i="2"/>
  <c r="F1623" i="2" s="1"/>
  <c r="G1622" i="2"/>
  <c r="F1622" i="2" s="1"/>
  <c r="G1621" i="2"/>
  <c r="F1621" i="2" s="1"/>
  <c r="G1620" i="2"/>
  <c r="F1620" i="2" s="1"/>
  <c r="G1619" i="2"/>
  <c r="F1619" i="2" s="1"/>
  <c r="G1618" i="2"/>
  <c r="F1618" i="2" s="1"/>
  <c r="G1617" i="2"/>
  <c r="F1617" i="2" s="1"/>
  <c r="G1616" i="2"/>
  <c r="F1616" i="2" s="1"/>
  <c r="G1615" i="2"/>
  <c r="F1615" i="2" s="1"/>
  <c r="G1614" i="2"/>
  <c r="F1614" i="2" s="1"/>
  <c r="G1613" i="2"/>
  <c r="F1613" i="2" s="1"/>
  <c r="G1612" i="2"/>
  <c r="F1612" i="2" s="1"/>
  <c r="G1611" i="2"/>
  <c r="F1611" i="2" s="1"/>
  <c r="G1610" i="2"/>
  <c r="F1610" i="2" s="1"/>
  <c r="G1609" i="2"/>
  <c r="F1609" i="2" s="1"/>
  <c r="G1608" i="2"/>
  <c r="F1608" i="2" s="1"/>
  <c r="G1607" i="2"/>
  <c r="F1607" i="2" s="1"/>
  <c r="G1606" i="2"/>
  <c r="F1606" i="2" s="1"/>
  <c r="G1605" i="2"/>
  <c r="F1605" i="2" s="1"/>
  <c r="G1604" i="2"/>
  <c r="F1604" i="2" s="1"/>
  <c r="G1603" i="2"/>
  <c r="F1603" i="2" s="1"/>
  <c r="G1602" i="2"/>
  <c r="F1602" i="2" s="1"/>
  <c r="G1601" i="2"/>
  <c r="F1601" i="2" s="1"/>
  <c r="J1600" i="2"/>
  <c r="H1600" i="2"/>
  <c r="G1600" i="2"/>
  <c r="I1599" i="2"/>
  <c r="F1599" i="2"/>
  <c r="I1598" i="2"/>
  <c r="F1598" i="2"/>
  <c r="I1597" i="2"/>
  <c r="F1597" i="2"/>
  <c r="I1596" i="2"/>
  <c r="F1596" i="2"/>
  <c r="I1595" i="2"/>
  <c r="F1595" i="2"/>
  <c r="I1594" i="2"/>
  <c r="F1594" i="2"/>
  <c r="I1593" i="2"/>
  <c r="F1593" i="2"/>
  <c r="I1592" i="2"/>
  <c r="F1592" i="2"/>
  <c r="I1591" i="2"/>
  <c r="F1591" i="2"/>
  <c r="I1590" i="2"/>
  <c r="F1590" i="2"/>
  <c r="I1589" i="2"/>
  <c r="F1589" i="2"/>
  <c r="I1588" i="2"/>
  <c r="F1588" i="2"/>
  <c r="I1587" i="2"/>
  <c r="F1587" i="2"/>
  <c r="J1586" i="2"/>
  <c r="G1586" i="2"/>
  <c r="I1585" i="2"/>
  <c r="F1585" i="2"/>
  <c r="I1584" i="2"/>
  <c r="F1584" i="2"/>
  <c r="I1583" i="2"/>
  <c r="I1586" i="2" s="1"/>
  <c r="F1583" i="2"/>
  <c r="H1582" i="2"/>
  <c r="F1582" i="2"/>
  <c r="H1581" i="2"/>
  <c r="F1581" i="2"/>
  <c r="H1580" i="2"/>
  <c r="F1580" i="2"/>
  <c r="H1579" i="2"/>
  <c r="F1579" i="2"/>
  <c r="H1578" i="2"/>
  <c r="F1578" i="2"/>
  <c r="H1577" i="2"/>
  <c r="F1577" i="2"/>
  <c r="H1576" i="2"/>
  <c r="F1576" i="2"/>
  <c r="H1575" i="2"/>
  <c r="F1575" i="2"/>
  <c r="H1574" i="2"/>
  <c r="F1574" i="2"/>
  <c r="H1573" i="2"/>
  <c r="F1573" i="2"/>
  <c r="H1572" i="2"/>
  <c r="F1572" i="2"/>
  <c r="H1571" i="2"/>
  <c r="F1571" i="2"/>
  <c r="H1570" i="2"/>
  <c r="F1570" i="2"/>
  <c r="J1569" i="2"/>
  <c r="I1569" i="2"/>
  <c r="H1569" i="2"/>
  <c r="G1565" i="2"/>
  <c r="F1565" i="2"/>
  <c r="G1564" i="2"/>
  <c r="F1564" i="2"/>
  <c r="G1563" i="2"/>
  <c r="F1563" i="2"/>
  <c r="G1562" i="2"/>
  <c r="F1562" i="2"/>
  <c r="G1561" i="2"/>
  <c r="F1561" i="2"/>
  <c r="G1560" i="2"/>
  <c r="F1560" i="2"/>
  <c r="G1559" i="2"/>
  <c r="F1559" i="2"/>
  <c r="G1558" i="2"/>
  <c r="F1558" i="2"/>
  <c r="G1557" i="2"/>
  <c r="F1557" i="2"/>
  <c r="G1556" i="2"/>
  <c r="F1556" i="2"/>
  <c r="G1555" i="2"/>
  <c r="F1555" i="2"/>
  <c r="G1554" i="2"/>
  <c r="F1554" i="2"/>
  <c r="G1553" i="2"/>
  <c r="F1553" i="2"/>
  <c r="G1552" i="2"/>
  <c r="F1552" i="2"/>
  <c r="G1551" i="2"/>
  <c r="F1551" i="2"/>
  <c r="G1550" i="2"/>
  <c r="F1550" i="2"/>
  <c r="I1549" i="2"/>
  <c r="H1549" i="2"/>
  <c r="G1549" i="2"/>
  <c r="F1546" i="2"/>
  <c r="F1549" i="2" s="1"/>
  <c r="J1545" i="2"/>
  <c r="I1545" i="2"/>
  <c r="H1545" i="2"/>
  <c r="G1545" i="2"/>
  <c r="F1545" i="2"/>
  <c r="J1541" i="2"/>
  <c r="I1541" i="2"/>
  <c r="H1541" i="2"/>
  <c r="G1541" i="2"/>
  <c r="F1541" i="2"/>
  <c r="J1537" i="2"/>
  <c r="I1537" i="2"/>
  <c r="H1537" i="2"/>
  <c r="G1537" i="2"/>
  <c r="F1537" i="2"/>
  <c r="J1527" i="2"/>
  <c r="H1527" i="2"/>
  <c r="G1527" i="2"/>
  <c r="F1525" i="2"/>
  <c r="F1527" i="2" s="1"/>
  <c r="I1524" i="2"/>
  <c r="I1527" i="2" s="1"/>
  <c r="J1520" i="2"/>
  <c r="H1520" i="2"/>
  <c r="G1520" i="2"/>
  <c r="F1520" i="2"/>
  <c r="I1519" i="2"/>
  <c r="I1518" i="2"/>
  <c r="I1517" i="2"/>
  <c r="I1516" i="2"/>
  <c r="I1515" i="2"/>
  <c r="I1514" i="2"/>
  <c r="I1513" i="2"/>
  <c r="J1509" i="2"/>
  <c r="I1509" i="2"/>
  <c r="H1509" i="2"/>
  <c r="G1509" i="2"/>
  <c r="F1509" i="2"/>
  <c r="J1497" i="2"/>
  <c r="I1497" i="2"/>
  <c r="H1497" i="2"/>
  <c r="G1497" i="2"/>
  <c r="F1497" i="2"/>
  <c r="J1493" i="2"/>
  <c r="I1493" i="2"/>
  <c r="H1493" i="2"/>
  <c r="G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J1465" i="2"/>
  <c r="I1465" i="2"/>
  <c r="H1465" i="2"/>
  <c r="G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6" i="2"/>
  <c r="F1405" i="2"/>
  <c r="F1404" i="2"/>
  <c r="F1403" i="2"/>
  <c r="F1402" i="2"/>
  <c r="F1401" i="2"/>
  <c r="F1400" i="2"/>
  <c r="F1399" i="2"/>
  <c r="I1398" i="2"/>
  <c r="H1398" i="2"/>
  <c r="F1398" i="2"/>
  <c r="I1395" i="2"/>
  <c r="H1395" i="2"/>
  <c r="G1395" i="2"/>
  <c r="G1396" i="2" s="1"/>
  <c r="F1395" i="2"/>
  <c r="H1392" i="2"/>
  <c r="G1392" i="2"/>
  <c r="F1392" i="2"/>
  <c r="J1389" i="2"/>
  <c r="I1389" i="2"/>
  <c r="H1389" i="2"/>
  <c r="G1389" i="2"/>
  <c r="F1388" i="2"/>
  <c r="F1387" i="2"/>
  <c r="F1386" i="2"/>
  <c r="F1385" i="2"/>
  <c r="F1384" i="2"/>
  <c r="F1383" i="2"/>
  <c r="F1382" i="2"/>
  <c r="F1381" i="2"/>
  <c r="F1380" i="2"/>
  <c r="F1379" i="2"/>
  <c r="J1378" i="2"/>
  <c r="I1378" i="2"/>
  <c r="G1378" i="2"/>
  <c r="F1377" i="2"/>
  <c r="F1376" i="2"/>
  <c r="F1375" i="2"/>
  <c r="F1374" i="2"/>
  <c r="F1373" i="2"/>
  <c r="F1372" i="2"/>
  <c r="F1371" i="2"/>
  <c r="F1370" i="2"/>
  <c r="F1369" i="2"/>
  <c r="F1368" i="2"/>
  <c r="H1367" i="2"/>
  <c r="H1366" i="2"/>
  <c r="H1365" i="2"/>
  <c r="H1364" i="2"/>
  <c r="H1363" i="2"/>
  <c r="H1362" i="2"/>
  <c r="H1361" i="2"/>
  <c r="H1360" i="2"/>
  <c r="H1359" i="2"/>
  <c r="H1358" i="2"/>
  <c r="J1357" i="2"/>
  <c r="I1357" i="2"/>
  <c r="H1357" i="2"/>
  <c r="F1356" i="2"/>
  <c r="F1355" i="2"/>
  <c r="F1354" i="2"/>
  <c r="F1353" i="2"/>
  <c r="F1352" i="2"/>
  <c r="F1351" i="2"/>
  <c r="F1350" i="2"/>
  <c r="F1349" i="2"/>
  <c r="F1348" i="2"/>
  <c r="F1347" i="2"/>
  <c r="G1346" i="2"/>
  <c r="G1345" i="2"/>
  <c r="G1344" i="2"/>
  <c r="G1343" i="2"/>
  <c r="G1342" i="2"/>
  <c r="G1341" i="2"/>
  <c r="G1340" i="2"/>
  <c r="G1339" i="2"/>
  <c r="G1338" i="2"/>
  <c r="G1337" i="2"/>
  <c r="I1336" i="2"/>
  <c r="F1336" i="2"/>
  <c r="J1333" i="2"/>
  <c r="I1333" i="2"/>
  <c r="H1333" i="2"/>
  <c r="F1333" i="2"/>
  <c r="J1330" i="2"/>
  <c r="I1330" i="2"/>
  <c r="F1330" i="2"/>
  <c r="I1326" i="2"/>
  <c r="H1326" i="2"/>
  <c r="F1326" i="2"/>
  <c r="H1322" i="2"/>
  <c r="G1322" i="2"/>
  <c r="F1322" i="2"/>
  <c r="J1317" i="2"/>
  <c r="H1317" i="2"/>
  <c r="G1317" i="2"/>
  <c r="F1317" i="2"/>
  <c r="I1316" i="2"/>
  <c r="I1315" i="2"/>
  <c r="I1314" i="2"/>
  <c r="I1313" i="2"/>
  <c r="I1312" i="2"/>
  <c r="I1311" i="2"/>
  <c r="J1310" i="2"/>
  <c r="H1310" i="2"/>
  <c r="G1310" i="2"/>
  <c r="F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J1290" i="2"/>
  <c r="I1290" i="2"/>
  <c r="H1289" i="2"/>
  <c r="H1288" i="2"/>
  <c r="H1287" i="2"/>
  <c r="H1286" i="2"/>
  <c r="H1285" i="2"/>
  <c r="H1284" i="2"/>
  <c r="H1283" i="2"/>
  <c r="H1282" i="2"/>
  <c r="H1281" i="2"/>
  <c r="H1280" i="2"/>
  <c r="F1280" i="2"/>
  <c r="H1279" i="2"/>
  <c r="F1279" i="2"/>
  <c r="H1278" i="2"/>
  <c r="F1278" i="2"/>
  <c r="H1277" i="2"/>
  <c r="F1277" i="2"/>
  <c r="G1276" i="2"/>
  <c r="F1276" i="2"/>
  <c r="G1275" i="2"/>
  <c r="F1275" i="2"/>
  <c r="G1274" i="2"/>
  <c r="F1274" i="2"/>
  <c r="G1273" i="2"/>
  <c r="F1273" i="2"/>
  <c r="G1272" i="2"/>
  <c r="F1272" i="2"/>
  <c r="G1271" i="2"/>
  <c r="F1271" i="2"/>
  <c r="G1270" i="2"/>
  <c r="F1270" i="2"/>
  <c r="G1269" i="2"/>
  <c r="F1269" i="2"/>
  <c r="G1268" i="2"/>
  <c r="F1268" i="2"/>
  <c r="G1267" i="2"/>
  <c r="F1267" i="2"/>
  <c r="G1266" i="2"/>
  <c r="F1266" i="2"/>
  <c r="G1265" i="2"/>
  <c r="F1265" i="2"/>
  <c r="G1264" i="2"/>
  <c r="F1264" i="2"/>
  <c r="G1263" i="2"/>
  <c r="F1263" i="2"/>
  <c r="G1262" i="2"/>
  <c r="F1262" i="2"/>
  <c r="G1261" i="2"/>
  <c r="F1261" i="2"/>
  <c r="G1260" i="2"/>
  <c r="F1260" i="2"/>
  <c r="J1259" i="2"/>
  <c r="I1259" i="2"/>
  <c r="H1259" i="2"/>
  <c r="G1259" i="2"/>
  <c r="F1259" i="2"/>
  <c r="J1257" i="2"/>
  <c r="I1257" i="2"/>
  <c r="F1257" i="2"/>
  <c r="J1253" i="2"/>
  <c r="I1253" i="2"/>
  <c r="H1253" i="2"/>
  <c r="F1253" i="2"/>
  <c r="J1249" i="2"/>
  <c r="I1249" i="2"/>
  <c r="H1249" i="2"/>
  <c r="F1249" i="2"/>
  <c r="J1246" i="2"/>
  <c r="I1246" i="2"/>
  <c r="H1246" i="2"/>
  <c r="G1246" i="2"/>
  <c r="F1246" i="2"/>
  <c r="J1237" i="2"/>
  <c r="I1237" i="2"/>
  <c r="H1237" i="2"/>
  <c r="G1237" i="2"/>
  <c r="F1237" i="2"/>
  <c r="J1222" i="2"/>
  <c r="I1222" i="2"/>
  <c r="H1222" i="2"/>
  <c r="G1222" i="2"/>
  <c r="F1222" i="2"/>
  <c r="J1215" i="2"/>
  <c r="I1215" i="2"/>
  <c r="H1215" i="2"/>
  <c r="G1215" i="2"/>
  <c r="F1215" i="2"/>
  <c r="J1195" i="2"/>
  <c r="I1195" i="2"/>
  <c r="H1195" i="2"/>
  <c r="G1195" i="2"/>
  <c r="F1195" i="2"/>
  <c r="H1162" i="2"/>
  <c r="I1161" i="2"/>
  <c r="F1161" i="2"/>
  <c r="I1159" i="2"/>
  <c r="F1159" i="2"/>
  <c r="I1158" i="2"/>
  <c r="F1158" i="2"/>
  <c r="J1157" i="2"/>
  <c r="I1157" i="2"/>
  <c r="G1157" i="2"/>
  <c r="F1156" i="2"/>
  <c r="H1156" i="2" s="1"/>
  <c r="F1155" i="2"/>
  <c r="H1155" i="2" s="1"/>
  <c r="F1154" i="2"/>
  <c r="H1154" i="2" s="1"/>
  <c r="F1153" i="2"/>
  <c r="H1153" i="2" s="1"/>
  <c r="J1152" i="2"/>
  <c r="I1152" i="2"/>
  <c r="H1152" i="2"/>
  <c r="G1151" i="2"/>
  <c r="F1151" i="2" s="1"/>
  <c r="G1150" i="2"/>
  <c r="F1150" i="2" s="1"/>
  <c r="F1149" i="2"/>
  <c r="G1148" i="2"/>
  <c r="F1148" i="2" s="1"/>
  <c r="G1147" i="2"/>
  <c r="F1147" i="2" s="1"/>
  <c r="J1146" i="2"/>
  <c r="I1146" i="2"/>
  <c r="H1146" i="2"/>
  <c r="G1146" i="2"/>
  <c r="F1146" i="2"/>
  <c r="J1140" i="2"/>
  <c r="I1140" i="2"/>
  <c r="H1140" i="2"/>
  <c r="G1140" i="2"/>
  <c r="F1140" i="2"/>
  <c r="G1133" i="2"/>
  <c r="F1133" i="2"/>
  <c r="F1644" i="2" l="1"/>
  <c r="F1648" i="2"/>
  <c r="F1653" i="2"/>
  <c r="F1663" i="2"/>
  <c r="F1652" i="2"/>
  <c r="H1807" i="2"/>
  <c r="I1162" i="2"/>
  <c r="F1669" i="2"/>
  <c r="G1569" i="2"/>
  <c r="F1600" i="2"/>
  <c r="G1357" i="2"/>
  <c r="F1162" i="2"/>
  <c r="F1290" i="2"/>
  <c r="I1600" i="2"/>
  <c r="J1334" i="2"/>
  <c r="J1335" i="2" s="1"/>
  <c r="F1586" i="2"/>
  <c r="G1158" i="2"/>
  <c r="G1397" i="2"/>
  <c r="G1398" i="2" s="1"/>
  <c r="J1158" i="2"/>
  <c r="J1159" i="2" s="1"/>
  <c r="G1290" i="2"/>
  <c r="F1357" i="2"/>
  <c r="F1493" i="2"/>
  <c r="F1569" i="2"/>
  <c r="H1586" i="2"/>
  <c r="H1632" i="2"/>
  <c r="F1635" i="2"/>
  <c r="G1807" i="2"/>
  <c r="F1640" i="2"/>
  <c r="F1642" i="2"/>
  <c r="F1643" i="2"/>
  <c r="F1432" i="2"/>
  <c r="H1157" i="2"/>
  <c r="G1632" i="2"/>
  <c r="F1630" i="2"/>
  <c r="F1631" i="2"/>
  <c r="F1633" i="2"/>
  <c r="F1638" i="2"/>
  <c r="F1639" i="2"/>
  <c r="F1646" i="2"/>
  <c r="F1647" i="2"/>
  <c r="H1290" i="2"/>
  <c r="I1317" i="2"/>
  <c r="I1520" i="2"/>
  <c r="F1962" i="2"/>
  <c r="F1389" i="2"/>
  <c r="F1465" i="2"/>
  <c r="I1672" i="2"/>
  <c r="F1636" i="2"/>
  <c r="F1641" i="2"/>
  <c r="F1645" i="2"/>
  <c r="F1651" i="2"/>
  <c r="F1906" i="2"/>
  <c r="F1990" i="2"/>
  <c r="G1152" i="2"/>
  <c r="F1157" i="2"/>
  <c r="I1710" i="2"/>
  <c r="F1152" i="2"/>
  <c r="I1310" i="2"/>
  <c r="H1378" i="2"/>
  <c r="F1378" i="2"/>
  <c r="H1672" i="2"/>
  <c r="F1710" i="2"/>
  <c r="H1823" i="2"/>
  <c r="F1632" i="2" l="1"/>
  <c r="J1336" i="2"/>
  <c r="J1160" i="2"/>
  <c r="J1161" i="2" s="1"/>
  <c r="G1159" i="2"/>
  <c r="G1160" i="2" s="1"/>
  <c r="G1161" i="2" s="1"/>
  <c r="F1672" i="2"/>
  <c r="F40" i="2"/>
  <c r="I40" i="2"/>
  <c r="H40" i="2"/>
  <c r="G40" i="2"/>
  <c r="J1162" i="2" l="1"/>
  <c r="G1162" i="2"/>
  <c r="J1130" i="2"/>
  <c r="I1130" i="2"/>
  <c r="H1130" i="2"/>
  <c r="G1130" i="2"/>
  <c r="F1130" i="2"/>
  <c r="J1101" i="2"/>
  <c r="I1101" i="2"/>
  <c r="H1101" i="2"/>
  <c r="G1101" i="2"/>
  <c r="F1101" i="2"/>
  <c r="J1071" i="2"/>
  <c r="I1071" i="2"/>
  <c r="H1071" i="2"/>
  <c r="G1071" i="2"/>
  <c r="F1071" i="2"/>
  <c r="I1037" i="2" l="1"/>
  <c r="H1036" i="2"/>
  <c r="G1035" i="2"/>
  <c r="A1016" i="2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I1014" i="2"/>
  <c r="H1013" i="2"/>
  <c r="G1012" i="2"/>
  <c r="A997" i="2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I995" i="2"/>
  <c r="H994" i="2"/>
  <c r="G993" i="2"/>
  <c r="A984" i="2"/>
  <c r="A985" i="2" s="1"/>
  <c r="A986" i="2" s="1"/>
  <c r="A987" i="2" s="1"/>
  <c r="A988" i="2" s="1"/>
  <c r="A989" i="2" s="1"/>
  <c r="A990" i="2" s="1"/>
  <c r="A991" i="2" s="1"/>
  <c r="A992" i="2" s="1"/>
  <c r="I982" i="2"/>
  <c r="H981" i="2"/>
  <c r="G980" i="2"/>
  <c r="A961" i="2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I959" i="2"/>
  <c r="H958" i="2"/>
  <c r="G957" i="2"/>
  <c r="A937" i="2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I935" i="2"/>
  <c r="H934" i="2"/>
  <c r="G933" i="2"/>
  <c r="A922" i="2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I920" i="2"/>
  <c r="H919" i="2"/>
  <c r="G918" i="2"/>
  <c r="A899" i="2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I897" i="2"/>
  <c r="H896" i="2"/>
  <c r="G895" i="2"/>
  <c r="A876" i="2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H873" i="2"/>
  <c r="G872" i="2"/>
  <c r="I869" i="2"/>
  <c r="I874" i="2" s="1"/>
  <c r="A848" i="2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I846" i="2"/>
  <c r="H845" i="2"/>
  <c r="G844" i="2"/>
  <c r="A831" i="2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I829" i="2"/>
  <c r="H828" i="2"/>
  <c r="G827" i="2"/>
  <c r="A819" i="2"/>
  <c r="A820" i="2" s="1"/>
  <c r="A821" i="2" s="1"/>
  <c r="A822" i="2" s="1"/>
  <c r="A823" i="2" s="1"/>
  <c r="A824" i="2" s="1"/>
  <c r="A825" i="2" s="1"/>
  <c r="A826" i="2" s="1"/>
  <c r="I817" i="2"/>
  <c r="H816" i="2"/>
  <c r="G815" i="2"/>
  <c r="A802" i="2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I800" i="2"/>
  <c r="H799" i="2"/>
  <c r="G798" i="2"/>
  <c r="A784" i="2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I782" i="2"/>
  <c r="H781" i="2"/>
  <c r="G780" i="2"/>
  <c r="A762" i="2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I760" i="2"/>
  <c r="H759" i="2"/>
  <c r="G758" i="2"/>
  <c r="A736" i="2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I734" i="2"/>
  <c r="H733" i="2"/>
  <c r="G732" i="2"/>
  <c r="A725" i="2"/>
  <c r="A726" i="2" s="1"/>
  <c r="A727" i="2" s="1"/>
  <c r="A728" i="2" s="1"/>
  <c r="A729" i="2" s="1"/>
  <c r="A730" i="2" s="1"/>
  <c r="A731" i="2" s="1"/>
  <c r="I723" i="2"/>
  <c r="H722" i="2"/>
  <c r="G721" i="2"/>
  <c r="A702" i="2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I700" i="2"/>
  <c r="H699" i="2"/>
  <c r="G698" i="2"/>
  <c r="A682" i="2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I680" i="2"/>
  <c r="H679" i="2"/>
  <c r="G678" i="2"/>
  <c r="A661" i="2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I659" i="2"/>
  <c r="H658" i="2"/>
  <c r="G657" i="2"/>
  <c r="A631" i="2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I629" i="2"/>
  <c r="H628" i="2"/>
  <c r="G627" i="2"/>
  <c r="A613" i="2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I611" i="2"/>
  <c r="H610" i="2"/>
  <c r="G609" i="2"/>
  <c r="A597" i="2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I595" i="2"/>
  <c r="H594" i="2"/>
  <c r="G593" i="2"/>
  <c r="A574" i="2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I572" i="2"/>
  <c r="H571" i="2"/>
  <c r="G570" i="2"/>
  <c r="A557" i="2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I555" i="2"/>
  <c r="H554" i="2"/>
  <c r="G553" i="2"/>
  <c r="A546" i="2"/>
  <c r="A547" i="2" s="1"/>
  <c r="A548" i="2" s="1"/>
  <c r="A549" i="2" s="1"/>
  <c r="A550" i="2" s="1"/>
  <c r="A551" i="2" s="1"/>
  <c r="A552" i="2" s="1"/>
  <c r="I544" i="2"/>
  <c r="H543" i="2"/>
  <c r="G542" i="2"/>
  <c r="A522" i="2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I520" i="2"/>
  <c r="H519" i="2"/>
  <c r="G518" i="2"/>
  <c r="I503" i="2"/>
  <c r="H502" i="2"/>
  <c r="G501" i="2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I480" i="2"/>
  <c r="H479" i="2"/>
  <c r="G478" i="2"/>
  <c r="A468" i="2"/>
  <c r="A469" i="2" s="1"/>
  <c r="A470" i="2" s="1"/>
  <c r="A471" i="2" s="1"/>
  <c r="A472" i="2" s="1"/>
  <c r="A473" i="2" s="1"/>
  <c r="A474" i="2" s="1"/>
  <c r="A475" i="2" s="1"/>
  <c r="A476" i="2" s="1"/>
  <c r="A477" i="2" s="1"/>
  <c r="I466" i="2"/>
  <c r="H465" i="2"/>
  <c r="G464" i="2"/>
  <c r="A455" i="2"/>
  <c r="A456" i="2" s="1"/>
  <c r="A457" i="2" s="1"/>
  <c r="A458" i="2" s="1"/>
  <c r="A459" i="2" s="1"/>
  <c r="A460" i="2" s="1"/>
  <c r="A461" i="2" s="1"/>
  <c r="A462" i="2" s="1"/>
  <c r="A463" i="2" s="1"/>
  <c r="I453" i="2"/>
  <c r="H452" i="2"/>
  <c r="G451" i="2"/>
  <c r="A431" i="2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I429" i="2"/>
  <c r="H428" i="2"/>
  <c r="G427" i="2"/>
  <c r="I422" i="2"/>
  <c r="H421" i="2"/>
  <c r="A396" i="2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G395" i="2"/>
  <c r="G420" i="2" s="1"/>
  <c r="I394" i="2"/>
  <c r="H393" i="2"/>
  <c r="G392" i="2"/>
  <c r="A377" i="2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I375" i="2"/>
  <c r="H374" i="2"/>
  <c r="G373" i="2"/>
  <c r="A362" i="2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I360" i="2"/>
  <c r="H359" i="2"/>
  <c r="G358" i="2"/>
  <c r="A348" i="2"/>
  <c r="A349" i="2" s="1"/>
  <c r="A350" i="2" s="1"/>
  <c r="A351" i="2" s="1"/>
  <c r="A352" i="2" s="1"/>
  <c r="A353" i="2" s="1"/>
  <c r="A354" i="2" s="1"/>
  <c r="A355" i="2" s="1"/>
  <c r="A356" i="2" s="1"/>
  <c r="A357" i="2" s="1"/>
  <c r="I346" i="2"/>
  <c r="H345" i="2"/>
  <c r="G344" i="2"/>
  <c r="A323" i="2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I321" i="2"/>
  <c r="H320" i="2"/>
  <c r="G319" i="2"/>
  <c r="I312" i="2"/>
  <c r="H311" i="2"/>
  <c r="G310" i="2"/>
  <c r="A287" i="2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I285" i="2"/>
  <c r="H284" i="2"/>
  <c r="G283" i="2"/>
  <c r="A279" i="2"/>
  <c r="A280" i="2" s="1"/>
  <c r="A281" i="2" s="1"/>
  <c r="A282" i="2" s="1"/>
  <c r="I277" i="2"/>
  <c r="H276" i="2"/>
  <c r="G273" i="2"/>
  <c r="F273" i="2"/>
  <c r="G272" i="2"/>
  <c r="F272" i="2"/>
  <c r="I271" i="2"/>
  <c r="H270" i="2"/>
  <c r="G269" i="2"/>
  <c r="I266" i="2"/>
  <c r="H265" i="2"/>
  <c r="G264" i="2"/>
  <c r="I261" i="2"/>
  <c r="H260" i="2"/>
  <c r="G258" i="2"/>
  <c r="G259" i="2" s="1"/>
  <c r="F258" i="2"/>
  <c r="I257" i="2"/>
  <c r="H256" i="2"/>
  <c r="G255" i="2"/>
  <c r="I252" i="2"/>
  <c r="H251" i="2"/>
  <c r="G249" i="2"/>
  <c r="F249" i="2"/>
  <c r="G248" i="2"/>
  <c r="F248" i="2"/>
  <c r="I243" i="2"/>
  <c r="H242" i="2"/>
  <c r="G240" i="2"/>
  <c r="G241" i="2" s="1"/>
  <c r="F240" i="2"/>
  <c r="I236" i="2"/>
  <c r="H235" i="2"/>
  <c r="G234" i="2"/>
  <c r="I232" i="2"/>
  <c r="H231" i="2"/>
  <c r="G229" i="2"/>
  <c r="F229" i="2"/>
  <c r="G226" i="2"/>
  <c r="F226" i="2"/>
  <c r="I225" i="2"/>
  <c r="H224" i="2"/>
  <c r="G216" i="2"/>
  <c r="F216" i="2"/>
  <c r="G215" i="2"/>
  <c r="F215" i="2"/>
  <c r="I214" i="2"/>
  <c r="H213" i="2"/>
  <c r="G212" i="2"/>
  <c r="I208" i="2"/>
  <c r="H207" i="2"/>
  <c r="G206" i="2"/>
  <c r="I202" i="2"/>
  <c r="H201" i="2"/>
  <c r="G200" i="2"/>
  <c r="I198" i="2"/>
  <c r="H197" i="2"/>
  <c r="G196" i="2"/>
  <c r="I194" i="2"/>
  <c r="H193" i="2"/>
  <c r="G191" i="2"/>
  <c r="G192" i="2" s="1"/>
  <c r="F191" i="2"/>
  <c r="H188" i="2"/>
  <c r="I186" i="2"/>
  <c r="I189" i="2" s="1"/>
  <c r="G186" i="2"/>
  <c r="G187" i="2" s="1"/>
  <c r="F186" i="2"/>
  <c r="I185" i="2"/>
  <c r="H184" i="2"/>
  <c r="G182" i="2"/>
  <c r="F182" i="2"/>
  <c r="G181" i="2"/>
  <c r="F181" i="2"/>
  <c r="I176" i="2"/>
  <c r="G173" i="2"/>
  <c r="F173" i="2"/>
  <c r="G171" i="2"/>
  <c r="F171" i="2"/>
  <c r="H170" i="2"/>
  <c r="H175" i="2" s="1"/>
  <c r="F170" i="2"/>
  <c r="I169" i="2"/>
  <c r="H168" i="2"/>
  <c r="G162" i="2"/>
  <c r="F162" i="2"/>
  <c r="G161" i="2"/>
  <c r="F161" i="2"/>
  <c r="I160" i="2"/>
  <c r="H159" i="2"/>
  <c r="G158" i="2"/>
  <c r="I152" i="2"/>
  <c r="H151" i="2"/>
  <c r="G149" i="2"/>
  <c r="F149" i="2"/>
  <c r="G147" i="2"/>
  <c r="G150" i="2" s="1"/>
  <c r="F147" i="2"/>
  <c r="I146" i="2"/>
  <c r="H145" i="2"/>
  <c r="G143" i="2"/>
  <c r="G144" i="2" s="1"/>
  <c r="F143" i="2"/>
  <c r="I141" i="2"/>
  <c r="H140" i="2"/>
  <c r="G138" i="2"/>
  <c r="G139" i="2" s="1"/>
  <c r="F138" i="2"/>
  <c r="I136" i="2"/>
  <c r="H135" i="2"/>
  <c r="G133" i="2"/>
  <c r="G134" i="2" s="1"/>
  <c r="F133" i="2"/>
  <c r="I129" i="2"/>
  <c r="I132" i="2" s="1"/>
  <c r="H129" i="2"/>
  <c r="H131" i="2" s="1"/>
  <c r="G129" i="2"/>
  <c r="F129" i="2"/>
  <c r="G128" i="2"/>
  <c r="F128" i="2"/>
  <c r="I127" i="2"/>
  <c r="H126" i="2"/>
  <c r="G122" i="2"/>
  <c r="G125" i="2" s="1"/>
  <c r="F122" i="2"/>
  <c r="G118" i="2"/>
  <c r="I115" i="2"/>
  <c r="H114" i="2"/>
  <c r="G112" i="2"/>
  <c r="F112" i="2"/>
  <c r="G111" i="2"/>
  <c r="F111" i="2"/>
  <c r="G107" i="2"/>
  <c r="G102" i="2"/>
  <c r="G103" i="2" s="1"/>
  <c r="F102" i="2"/>
  <c r="I100" i="2"/>
  <c r="H97" i="2"/>
  <c r="H99" i="2" s="1"/>
  <c r="G97" i="2"/>
  <c r="F97" i="2"/>
  <c r="G96" i="2"/>
  <c r="F96" i="2"/>
  <c r="I95" i="2"/>
  <c r="H92" i="2"/>
  <c r="F92" i="2"/>
  <c r="H91" i="2"/>
  <c r="F91" i="2"/>
  <c r="G90" i="2"/>
  <c r="F90" i="2"/>
  <c r="G89" i="2"/>
  <c r="F89" i="2"/>
  <c r="I88" i="2"/>
  <c r="H87" i="2"/>
  <c r="G83" i="2"/>
  <c r="G86" i="2" s="1"/>
  <c r="F83" i="2"/>
  <c r="G79" i="2"/>
  <c r="F79" i="2"/>
  <c r="G78" i="2"/>
  <c r="F78" i="2"/>
  <c r="G77" i="2"/>
  <c r="F77" i="2"/>
  <c r="G76" i="2"/>
  <c r="F76" i="2"/>
  <c r="G72" i="2"/>
  <c r="F72" i="2"/>
  <c r="G71" i="2"/>
  <c r="F71" i="2"/>
  <c r="G67" i="2"/>
  <c r="F67" i="2"/>
  <c r="G64" i="2"/>
  <c r="F64" i="2"/>
  <c r="G63" i="2"/>
  <c r="F63" i="2"/>
  <c r="I62" i="2"/>
  <c r="H61" i="2"/>
  <c r="G58" i="2"/>
  <c r="G60" i="2" s="1"/>
  <c r="F58" i="2"/>
  <c r="I57" i="2"/>
  <c r="G54" i="2"/>
  <c r="F54" i="2"/>
  <c r="H53" i="2"/>
  <c r="H56" i="2" s="1"/>
  <c r="G53" i="2"/>
  <c r="F53" i="2"/>
  <c r="G73" i="2" l="1"/>
  <c r="G80" i="2"/>
  <c r="G93" i="2"/>
  <c r="H94" i="2"/>
  <c r="G167" i="2"/>
  <c r="G174" i="2"/>
  <c r="G98" i="2"/>
  <c r="G130" i="2"/>
  <c r="G183" i="2"/>
  <c r="G230" i="2"/>
  <c r="G275" i="2"/>
  <c r="G113" i="2"/>
  <c r="G68" i="2"/>
  <c r="G223" i="2"/>
  <c r="G250" i="2"/>
  <c r="G55" i="2"/>
  <c r="I52" i="2" l="1"/>
  <c r="F52" i="2"/>
  <c r="I48" i="2"/>
  <c r="H48" i="2"/>
  <c r="F48" i="2"/>
  <c r="G14" i="2"/>
  <c r="F14" i="2"/>
  <c r="G13" i="2"/>
  <c r="F13" i="2"/>
  <c r="G12" i="2"/>
  <c r="F12" i="2"/>
  <c r="G15" i="2" l="1"/>
  <c r="F15" i="2"/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<sst xmlns="http://schemas.openxmlformats.org/spreadsheetml/2006/main" count="7790" uniqueCount="3182">
  <si>
    <t>№ п/п</t>
  </si>
  <si>
    <t>Объект закупки</t>
  </si>
  <si>
    <t>Предмет контракта</t>
  </si>
  <si>
    <t>Способ определения поставщика (подрядчика, исполнителя)</t>
  </si>
  <si>
    <t>На текущий финансовый год</t>
  </si>
  <si>
    <t>На плановый период</t>
  </si>
  <si>
    <t>На первый год</t>
  </si>
  <si>
    <t>На второй год</t>
  </si>
  <si>
    <t>Последующие годы</t>
  </si>
  <si>
    <t>Планируемый срок начала осуществления закупки (месяц, год)</t>
  </si>
  <si>
    <t>Х</t>
  </si>
  <si>
    <t xml:space="preserve">Департамент финансов </t>
  </si>
  <si>
    <t>Электронный аукцион</t>
  </si>
  <si>
    <t>октябрь 2023</t>
  </si>
  <si>
    <t xml:space="preserve">Планируемые закупки товаров, работ, услуг у субъектов малого предпринимательства, социально ориентированных некоммерческих организаций  для обеспечения муниципальных нужд муниципального образования городского округа Сургута на 2022 - 2024 годы </t>
  </si>
  <si>
    <t>ИКЗ плана-графика</t>
  </si>
  <si>
    <t>Начальная (максимальная) цена контракта (тыс.рублей)</t>
  </si>
  <si>
    <t>Планируемые платежи (тыс.рублей)</t>
  </si>
  <si>
    <t>Оказание услуг по сопровождению автоматизированной системы планирования и исполнения бюджета города на основе программного обеспечения «Автоматизированный Центр контроля» с размещением информации о бюджете города в доступной для граждан форме на отдельном информационном портале «Бюджет для граждан»*</t>
  </si>
  <si>
    <t>Итого предусмотрено на осуществление закупок на второй год планового периода</t>
  </si>
  <si>
    <t>Выполнение работ по демонтажу площадок размещения ледовых скульптур, горок и катков</t>
  </si>
  <si>
    <t>электронный аукцион</t>
  </si>
  <si>
    <t xml:space="preserve"> - </t>
  </si>
  <si>
    <t>март 2022 года</t>
  </si>
  <si>
    <t>Выполнение работ по разработке проекта межевания территории кварталов КК1А, КК2А, КК3А, КК2, КК1 в городе Сургуте.</t>
  </si>
  <si>
    <t xml:space="preserve"> -</t>
  </si>
  <si>
    <t>Выполнение работ по разработке проекта планировки и проекта межевания территории части западного планировочного района, в границах проектных улиц 3 «ЗР», 6 «ЗР», 11 «ЗР» в городе Сургуте</t>
  </si>
  <si>
    <t>Выполнение работ по сносу объекта («Объект незавершенный строительством, степень готовности 10 %, площадью 262,8 квадратных метра, расположенный по адресу: ХМАО-Югра, г. Сургут, кадастровый номер 86:03:0053601:705»)</t>
  </si>
  <si>
    <t>-</t>
  </si>
  <si>
    <t>Выполнение работ по сносу объекта («Встроенно-пристроенное нежилое помещение. Ветеринарная лаборатория" общей площадью 169,1 квадратных метра, расположенное по адресу: ХМАО-Югра, г. Сургут, ул. Нагорная, дом 17»)</t>
  </si>
  <si>
    <t>Выполнение работ по сносу объекта («Здание столовой детского сада "Ягодка" площадью 299,5 метра квадратных, расположенное по адресу: ХМАО-Югра, г. Сургут, ул. Саянская, дом 10, кадастровый номер 86:10:0101190:2045»)</t>
  </si>
  <si>
    <t>Выполнение проектов организации работ по сносу объектов капитального строительства</t>
  </si>
  <si>
    <t>Выполнение проектно-изыскательских работ по объекту «Водоснабжение по ул. Речная в г. Сургуте»</t>
  </si>
  <si>
    <t>Выполнение проектно-изыскательских работ по объекту "Инженерные сети к средней общеобразовательной школе в микрорайоне 24 г. Сургута"</t>
  </si>
  <si>
    <t>открытый конкурс в электронной форме</t>
  </si>
  <si>
    <t>Выполнение проектно-изыскательских работ по объекту "Подъездные пути и инженерные сети к средней общеобразовательной школе в микрорайоне 20А г. Сургута"</t>
  </si>
  <si>
    <t>апрель 2022 года</t>
  </si>
  <si>
    <t>Выполнение проектно-изыскательских работ по объекту "Подъездные пути и инженерные сети к средней общеобразовательной школе в микрорайоне 45 г. Сургута"</t>
  </si>
  <si>
    <t>Выполнение проектно-изыскательских работ по объекту "Подъездные пути и инженерные сети к нежилому зданию для размещения общеобразовательной организации с универсальной безбарьерной средой в 31Б мкр."</t>
  </si>
  <si>
    <t>Выполнение работ по благоустройству объекта "Сквер, прилегающий к территории МКУ "Дворец торжеств" (10 952 кв.м.)</t>
  </si>
  <si>
    <t>Выполнение работ по устройству объекта "Автомобильная парковка БУ ХМАО-Югры "СГКП № 4", пр. Набережный, 41 г. Сургут"</t>
  </si>
  <si>
    <t>Выполнение работ по благоустройству объекта "Веревочный комплекс в п. Снежный"</t>
  </si>
  <si>
    <t>Выполнение работ по благоустройству объекта "Парковая зона в мкр-не 20А"</t>
  </si>
  <si>
    <t>Выполнение работ по благоустройству объекта "Реконструкция (реновация) рекреационных территорий общественных пространств в западном жилом районе города Сургута"</t>
  </si>
  <si>
    <t>февраль 2022 года</t>
  </si>
  <si>
    <t>Выполнение работ по строительству объекта "Канализационный коллектор по Тюменскому тракту от ул. 3 "З" до ул. 5 "З" в г. Сургуте"</t>
  </si>
  <si>
    <t>Выполнение работ по строительству объекта "Водовод от ВК-50 в районе кольца ГРЭС до ВК-15 по ул. Пионерная с устройством повысительной насосной станции"</t>
  </si>
  <si>
    <t>Выполнение работ по строительству объекта «Магистральный водовод для нужд Поймы-2, «Научно-технологического центра в городе Сургуте» и перспективной застройки»</t>
  </si>
  <si>
    <t>Выполнение работ по строительству объекта «Автомобильная дорога от Югорского тракта до ХСТО "Волна" и ПЛГК "Нептун" в пойменной части протоки Кривуля, г. Сургуте»</t>
  </si>
  <si>
    <t>Оказание охранных услуг</t>
  </si>
  <si>
    <t>ноябрь 2022 года</t>
  </si>
  <si>
    <t>Оказание услуг по диагностике, техническому обслуживанию и ремонту автотранспортных средств</t>
  </si>
  <si>
    <t>Оказание услуг по организации перевозок пассажиров и багажа легковым такси</t>
  </si>
  <si>
    <t>Оказание услуг по охране офиса</t>
  </si>
  <si>
    <t>Поставка компьютеров и перефирийного оборудования</t>
  </si>
  <si>
    <t>июнь 2022 года</t>
  </si>
  <si>
    <t>Поставка оригинальных расходных материалов и запасных частей для копировально-множительной техники и периферийного оборудования</t>
  </si>
  <si>
    <t>Итого предусмотрено на осуществление закупок в текущем году</t>
  </si>
  <si>
    <t>ноябрь 2023 года</t>
  </si>
  <si>
    <t>июнь 2023 года</t>
  </si>
  <si>
    <t>Оказание услуг по мойке автотранспортных средств</t>
  </si>
  <si>
    <t>январь 2023 года</t>
  </si>
  <si>
    <t>Итого предусмотрено на осуществление закупок на первый год планового периода</t>
  </si>
  <si>
    <t>январь 2024 года</t>
  </si>
  <si>
    <t>июнь 2024 года</t>
  </si>
  <si>
    <t xml:space="preserve">Департамент архитектуры и градостроительства </t>
  </si>
  <si>
    <t>МКУ "Управление капитального строительства"</t>
  </si>
  <si>
    <t>МБОУ СОШ № 1</t>
  </si>
  <si>
    <t>223860200025086020100100180008010244</t>
  </si>
  <si>
    <t>март 2022</t>
  </si>
  <si>
    <t>223860200025086020100100170002620244</t>
  </si>
  <si>
    <t>Поставка современных средств информатизации</t>
  </si>
  <si>
    <t>апрель 2022</t>
  </si>
  <si>
    <t>МБОУ СОШ № 3</t>
  </si>
  <si>
    <t>223860200012286020100100290002620244</t>
  </si>
  <si>
    <t>Поставка компьютеров и периферийного оборудования</t>
  </si>
  <si>
    <t>май 2022</t>
  </si>
  <si>
    <t>223860200012286020100100350004321244</t>
  </si>
  <si>
    <t>Выполнение работ по монтажу систем пожарной сигнализации и оповещения при пожаре</t>
  </si>
  <si>
    <t>МБОУ СОШ № 4 имени Л.И. Золотухиной</t>
  </si>
  <si>
    <t>223860200200086020100100140000000244</t>
  </si>
  <si>
    <t>Поставка спортивного инвентаря</t>
  </si>
  <si>
    <t>223860200200086020100100150002823244</t>
  </si>
  <si>
    <t>Поставка оригинальных расходных материалов для копировально - множительной техники</t>
  </si>
  <si>
    <t>223860200200086020100100120003101244</t>
  </si>
  <si>
    <t>Поставка мебели</t>
  </si>
  <si>
    <t>223860200200086020100100110003101244</t>
  </si>
  <si>
    <t>223860200200086020100100160004321244</t>
  </si>
  <si>
    <t>Выполнение работ по демонтажу и монтажу системы пожарной сигнализации</t>
  </si>
  <si>
    <t>МБОУ СОШ № 5</t>
  </si>
  <si>
    <t>223860200241986020100100160001723244</t>
  </si>
  <si>
    <t>Поставка бумаги</t>
  </si>
  <si>
    <t>223860200241986020100100140002823244</t>
  </si>
  <si>
    <t>Поставка оригинальных расходных материалов для копировально-множительной техники</t>
  </si>
  <si>
    <t>МБОУ СОШ № 6</t>
  </si>
  <si>
    <t>223860200149386020100100180002823244</t>
  </si>
  <si>
    <t>Поставка оригинальных расходных материалов для копировально-множительной техники и периферийного оборудования</t>
  </si>
  <si>
    <t>223860200149386020100100210008621244</t>
  </si>
  <si>
    <t>Оказание услуг по проведению периодических медицинских осмотров</t>
  </si>
  <si>
    <t>223860200149386020100100150002620244</t>
  </si>
  <si>
    <t>223860200149386020100100200006201244</t>
  </si>
  <si>
    <t>Оказание услуг по продлению неисключительных прав на использование и воспроизведение антивирусного программного обеспечения «Антивирус Касперского»</t>
  </si>
  <si>
    <t>МБОУ СОШ № 7</t>
  </si>
  <si>
    <t>223860200210586020100100140003101244</t>
  </si>
  <si>
    <t>Поставка мебели для офисов и предприятий торговли</t>
  </si>
  <si>
    <t>223860200210586020100100150003101244</t>
  </si>
  <si>
    <t>223860200210586020100100100002823244</t>
  </si>
  <si>
    <t>Поставка оригинальных расходных материалов для копировально-множительной техники и периферийного оборудования.</t>
  </si>
  <si>
    <t>МБОУ СОШ № 8 имени Сибирцева А.Н.</t>
  </si>
  <si>
    <t>223860200083886020100100190001712244</t>
  </si>
  <si>
    <t>223860200083886020100100180006201244</t>
  </si>
  <si>
    <t>октябрь 2022</t>
  </si>
  <si>
    <t>223860200083886020100100150008621244</t>
  </si>
  <si>
    <t>Оказание услуг по проведению предварительного медицинского осмотра работников в 2023 году</t>
  </si>
  <si>
    <t>сентябрь 2022</t>
  </si>
  <si>
    <t>223860200083886020100100160008621244</t>
  </si>
  <si>
    <t>Оказание услуг по проведению периодического медицинского осмотра работников</t>
  </si>
  <si>
    <t>МБОУ СШ № 9</t>
  </si>
  <si>
    <t>223860226396486020100100290003240244</t>
  </si>
  <si>
    <t>Поставка учебно наглядного оборудования</t>
  </si>
  <si>
    <t>223860226396486020100100300008010244</t>
  </si>
  <si>
    <t>Оказание услуг охраны муниципального имущества</t>
  </si>
  <si>
    <t>МБОУ СОШ № 10 с углубленным изучением отдельных предметов</t>
  </si>
  <si>
    <t>223860200212086020100100340002823244</t>
  </si>
  <si>
    <t>223860200212086020100100250000000244</t>
  </si>
  <si>
    <t>июнь 2022</t>
  </si>
  <si>
    <t>МБОУ СШ № 12</t>
  </si>
  <si>
    <t>223860200040486020100100110003299244</t>
  </si>
  <si>
    <t>Поставка учебно-игровых комплексов</t>
  </si>
  <si>
    <t>МБОУ СОШ № 15</t>
  </si>
  <si>
    <t>223860200014786020100100380006201244</t>
  </si>
  <si>
    <t>223860200014786020100100430000000244</t>
  </si>
  <si>
    <t>Оказание услуг по зимнему содержанию территории и крыш в 2022 - 2023 гг.</t>
  </si>
  <si>
    <t>223860200014786020100100420003101244</t>
  </si>
  <si>
    <t>МБОУ СОШ № 18 имени В.Я. Алексеева</t>
  </si>
  <si>
    <t>223860200219086020100100220000000244</t>
  </si>
  <si>
    <t>Поставка, ввод в эксплуатацию и гарантийное обслуживание современных средств информатизации</t>
  </si>
  <si>
    <t>223860200219086020100100170003101000</t>
  </si>
  <si>
    <t>Поставка мебели, стулья и парты ученические</t>
  </si>
  <si>
    <t>МБОУ СОШ № 19</t>
  </si>
  <si>
    <t>223860200148686020100100300003299244</t>
  </si>
  <si>
    <t>Поставка, ввод в эксплуатацию и гарантийное обслуживание современных средств информатизации образовательного процесса</t>
  </si>
  <si>
    <t>223860200148686020100100290002620244</t>
  </si>
  <si>
    <t>223860200148686020100100270002620244</t>
  </si>
  <si>
    <t>223860200148686020100100250003030244</t>
  </si>
  <si>
    <t>Поставка аппаратов летательных и космических и соответствующего оборудования</t>
  </si>
  <si>
    <t>МБОУ СОШ № 20</t>
  </si>
  <si>
    <t>223860200015486020100100240002823244</t>
  </si>
  <si>
    <t>223860200015486020100100250008129244</t>
  </si>
  <si>
    <t>Оказание услуг по зимнему содержанию территории и крыш</t>
  </si>
  <si>
    <t>МБОУ СОШ № 22 имени Г.Ф. Пономарева</t>
  </si>
  <si>
    <t>223860200198386020100100080008621244</t>
  </si>
  <si>
    <t>Оказание услуг по проведению периодических медицинских осмотров работников</t>
  </si>
  <si>
    <t xml:space="preserve">МБОУ СОШ № 24  </t>
  </si>
  <si>
    <t>223860201713386020100100120001712244</t>
  </si>
  <si>
    <t>223860201713386020100100090008621244</t>
  </si>
  <si>
    <t>МБОУ СОШ № 25</t>
  </si>
  <si>
    <t>223860200223286020100100150002620244</t>
  </si>
  <si>
    <t>223860200223286020100100160004321244</t>
  </si>
  <si>
    <t>Приобретение, монтаж, выполнение пусконаладочных работ системы пожарной сигнализации и оповещения людей о пожаре</t>
  </si>
  <si>
    <t>МБОУ СОШ № 26</t>
  </si>
  <si>
    <t>223860200188886020100100160003101244</t>
  </si>
  <si>
    <t>223860200188886020100100190001712244</t>
  </si>
  <si>
    <t>223860200188886020100100170008010244</t>
  </si>
  <si>
    <t>МБОУ СОШ № 27</t>
  </si>
  <si>
    <t>223860200180086020100100350004321244</t>
  </si>
  <si>
    <t>Выполнение работ по монтажу  пожарной сигнализации и оповещения людей о пожаре по адресу: г. Сургут пр. Мира дом 23</t>
  </si>
  <si>
    <t>223860200180086020100100380000000244</t>
  </si>
  <si>
    <t>Оказание услуг по предпроектному обследованию и проведению комплекса организационно-технических мероприятий (аттестационных испытаний) государственных информационных систем на соответствие требованиям защиты информации, передачу неисключительных прав на средства защиты информации</t>
  </si>
  <si>
    <t>июль 2022</t>
  </si>
  <si>
    <t>223860200180086020100100370008621244</t>
  </si>
  <si>
    <t>Оказание услуг по проведению периодических медицинских осмотров (обследований) работников</t>
  </si>
  <si>
    <t>223860200180086020100100360003101244</t>
  </si>
  <si>
    <t>223860200180086020100100420002620244</t>
  </si>
  <si>
    <t>Приобретение ноутбуков</t>
  </si>
  <si>
    <t>МБОУ СОШ № 29</t>
  </si>
  <si>
    <t>223860200209586020100100530006201244</t>
  </si>
  <si>
    <t>223860200209586020100100460003230244</t>
  </si>
  <si>
    <t>223860200209586020100100540002620244</t>
  </si>
  <si>
    <t>223860200209586020100100510000000244</t>
  </si>
  <si>
    <t>223860200209586020100100520000000244</t>
  </si>
  <si>
    <t>223860200209586020100100470003240244</t>
  </si>
  <si>
    <t>Поставка учебного оборудования</t>
  </si>
  <si>
    <t>МБОУ НШ № 30</t>
  </si>
  <si>
    <t>223860200201786020100100410008621244</t>
  </si>
  <si>
    <t>233860200201786020100100200002823244</t>
  </si>
  <si>
    <t>223860200201786020100100360003230244</t>
  </si>
  <si>
    <t>Поставка спортивного оборудования</t>
  </si>
  <si>
    <t>223860200201786020100100370002823244</t>
  </si>
  <si>
    <t>Поставка оригинальных расходных материалов и  запасных частей для печатающих устройств</t>
  </si>
  <si>
    <t>МБОУ СШ № 31</t>
  </si>
  <si>
    <t>223860221710086020100100200008621244</t>
  </si>
  <si>
    <t>223860221710086020100100240003299244</t>
  </si>
  <si>
    <t>223860221710086020100100230003299244</t>
  </si>
  <si>
    <t>Поставка мультимедийных комплексов</t>
  </si>
  <si>
    <t>223860221710086020100100250003299244</t>
  </si>
  <si>
    <t>Поставка медиацентра</t>
  </si>
  <si>
    <t>223860221710086020100100210002823244</t>
  </si>
  <si>
    <t>223860221710086020100100220003101244</t>
  </si>
  <si>
    <t>МБОУ СОШ № 32</t>
  </si>
  <si>
    <t>223860200184986020100100260008621244</t>
  </si>
  <si>
    <t>МБОУ СОШ № 44</t>
  </si>
  <si>
    <t>223860200279386020100100200004321244</t>
  </si>
  <si>
    <t>223860200279386020100100160003101244</t>
  </si>
  <si>
    <t>МБОУ СОШ № 45</t>
  </si>
  <si>
    <t>223860200286786020100100240002630244</t>
  </si>
  <si>
    <t>Выполнение работ по демонтажу и монтажу системы пожарной сигнализации и оповещению людей о пожаре</t>
  </si>
  <si>
    <t>МБОУ СОШ № 46 с углубленным изучением отдельных предметов</t>
  </si>
  <si>
    <t>223860201771186020100100100002823244</t>
  </si>
  <si>
    <t>Поставка картриджей</t>
  </si>
  <si>
    <t>МБВ(с)ОУО(с)ОШ № 1</t>
  </si>
  <si>
    <t>223860200174386020100100150002823244</t>
  </si>
  <si>
    <t>223860200174386020100100160001712244</t>
  </si>
  <si>
    <t>223860200174386020100100180002620244</t>
  </si>
  <si>
    <t>Поставка сервера</t>
  </si>
  <si>
    <t>МБОУ "СТШ"</t>
  </si>
  <si>
    <t>223860200202486020100100190002823244</t>
  </si>
  <si>
    <t>223860200202486020100100200001712244</t>
  </si>
  <si>
    <t>223860200202486020100100210008621244</t>
  </si>
  <si>
    <t>МБОУ "Перспектива"</t>
  </si>
  <si>
    <t>223860200197686020100100130002823244</t>
  </si>
  <si>
    <t>223860200197686020100100150008129244</t>
  </si>
  <si>
    <t>Оказание услуг по дезинсекции и дератизации помещений</t>
  </si>
  <si>
    <t>223860200197686020100100160008010244</t>
  </si>
  <si>
    <t>223860200197686020100100170004321244</t>
  </si>
  <si>
    <t>Выполнение работ по монтажу пожарной сигнализации</t>
  </si>
  <si>
    <t>223860200197686020100100080003299244</t>
  </si>
  <si>
    <t>223860200197686020100100060002823244</t>
  </si>
  <si>
    <t>223860200197686020100100070003230244</t>
  </si>
  <si>
    <t>Поставка спортивного оборудования и инвентаря</t>
  </si>
  <si>
    <t>223860200197686020100100100002620244</t>
  </si>
  <si>
    <t>МБОУ НШ "Прогимназия"</t>
  </si>
  <si>
    <t>223860220052386020100100330003240244</t>
  </si>
  <si>
    <t>Поставка учебного оборудования (робототехника)</t>
  </si>
  <si>
    <t>223860220052386020100100340001011244</t>
  </si>
  <si>
    <t>Поставка мяса</t>
  </si>
  <si>
    <t>223860220052386020100100310002823244</t>
  </si>
  <si>
    <t>223860220052386020100100320004321244</t>
  </si>
  <si>
    <t>МБОУ гимназия имени Ф.К. Салманова</t>
  </si>
  <si>
    <t>223860200235286020100100090002620244</t>
  </si>
  <si>
    <t>МБОУ гимназия "Лаборатория Салахова"</t>
  </si>
  <si>
    <t>223860220004086020100100030002620244</t>
  </si>
  <si>
    <t>223860220004086020100100050001051244</t>
  </si>
  <si>
    <t>Поставка продуктов питания</t>
  </si>
  <si>
    <t>223860220004086020100100060003299244</t>
  </si>
  <si>
    <t>Поставка демонстрационного оборудования</t>
  </si>
  <si>
    <t>223860220004086020100100040004321244</t>
  </si>
  <si>
    <t>Выполнение работ по монтажу системы охранной сигнализации по адресу г. Сургут, бульвар Свободы, дом 4/1</t>
  </si>
  <si>
    <t>МБОУ гимназия № 2</t>
  </si>
  <si>
    <t>223860200046886020100100290005829244</t>
  </si>
  <si>
    <t>Оказание услуг по предоставлению неисключительных прав на использование и воспроизведение программ для ЭВМ</t>
  </si>
  <si>
    <t>223860200046886020100100210002620244</t>
  </si>
  <si>
    <t>223860200046886020100100230006201244</t>
  </si>
  <si>
    <t>223860200046886020100100260000000244</t>
  </si>
  <si>
    <t>223860200046886020100100270000000244</t>
  </si>
  <si>
    <t>223860200046886020100100280002620244</t>
  </si>
  <si>
    <t>МБОУ лицей № 1</t>
  </si>
  <si>
    <t>223860200222586020100100120003109244</t>
  </si>
  <si>
    <t>223860200222586020100100110003101244</t>
  </si>
  <si>
    <t>МБОУ лицей имени генерал-майора Хисматулина В.И.</t>
  </si>
  <si>
    <t>223860200273086020100100230002823244</t>
  </si>
  <si>
    <t>МБОУ Сургутский естественно-научный лицей</t>
  </si>
  <si>
    <t>223860200220086020100100470002823244</t>
  </si>
  <si>
    <t>223860200220086020100100450002620244</t>
  </si>
  <si>
    <t>Поставка проекционного оборудования</t>
  </si>
  <si>
    <t>223860219067486020100100140001712244</t>
  </si>
  <si>
    <t>223860219067486020100100130008010244</t>
  </si>
  <si>
    <t>Услуги охраны</t>
  </si>
  <si>
    <t>МКУ "Управление учёта и отчётности образовательных учреждений"</t>
  </si>
  <si>
    <t>223860200722386020100100090008690323</t>
  </si>
  <si>
    <t>Оказание услуг по организации санаторно-курортного лечения детей-инвалидов</t>
  </si>
  <si>
    <t>Открытый конкурс в электронной форме</t>
  </si>
  <si>
    <t>223860200722386020100100040009329244</t>
  </si>
  <si>
    <t>Оказание услуг по организации отдыха и оздоровления детей в организации отдыха детей и их оздоровления</t>
  </si>
  <si>
    <t>223860200722386020100100200004939323</t>
  </si>
  <si>
    <t>Оказание автотранспортных услуг по перевозке организованных групп детей (подвоз обучающихся в муниципальные образовательные учреждения).</t>
  </si>
  <si>
    <t>223860200344486020100100440004939244</t>
  </si>
  <si>
    <t>Оказание автотранспортных услуг (легковой автомобиль)</t>
  </si>
  <si>
    <t>223860200344486020100100450008121244</t>
  </si>
  <si>
    <t>Оказание клининговых услуг</t>
  </si>
  <si>
    <t>223860200344486020100100470002823244</t>
  </si>
  <si>
    <t>233860200344486020100100130004939244</t>
  </si>
  <si>
    <t>апрель 2023</t>
  </si>
  <si>
    <t>233860200344486020100100140008121244</t>
  </si>
  <si>
    <t>МБДОУ № 4 "Умка"</t>
  </si>
  <si>
    <t>223860206331686020100100270000000244</t>
  </si>
  <si>
    <t>Поставка канцелярских товаров</t>
  </si>
  <si>
    <t>223860206331686020100100280005811244</t>
  </si>
  <si>
    <t>Поставка книжек - раскрасок</t>
  </si>
  <si>
    <t>223860206331686020100100290003240244</t>
  </si>
  <si>
    <t>Поставка игрушек и игровых наборов</t>
  </si>
  <si>
    <t>223860206331686020100100300003240244</t>
  </si>
  <si>
    <t>Поставка  игровых наборов</t>
  </si>
  <si>
    <t>223860206331686020100100350000113244</t>
  </si>
  <si>
    <t>223860206331686020100100380001051244</t>
  </si>
  <si>
    <t>Поставка масла сливочного</t>
  </si>
  <si>
    <t>223860206331686020100100390001020244</t>
  </si>
  <si>
    <t>223860206331686020100100400003299244</t>
  </si>
  <si>
    <t>Поставка развивающих наборов</t>
  </si>
  <si>
    <t>223860206331686020100100410003230244</t>
  </si>
  <si>
    <t>Поставка игровых модулей</t>
  </si>
  <si>
    <t>223860206331686020100100440008010244</t>
  </si>
  <si>
    <t>223860206331686020100100450004321244</t>
  </si>
  <si>
    <t>Выполнение работ по монтажу систем обеспечения пожарной безопасности зданий и сооружений</t>
  </si>
  <si>
    <t>223860206331686020100100490000000244</t>
  </si>
  <si>
    <t>Поставка наборов для творчества</t>
  </si>
  <si>
    <t>223860206331686020100100500000000244</t>
  </si>
  <si>
    <t>223860206331686020100100510000000244</t>
  </si>
  <si>
    <t>223860206331686020100100520001723244</t>
  </si>
  <si>
    <t>Поставка картона</t>
  </si>
  <si>
    <t>223860206331686020100100530001712244</t>
  </si>
  <si>
    <t>223860206331686020100100540003299244</t>
  </si>
  <si>
    <t>233860206331686020100100100003240244</t>
  </si>
  <si>
    <t>233860206331686020100100110003240244</t>
  </si>
  <si>
    <t>233860206331686020100100120000000244</t>
  </si>
  <si>
    <t>233860206331686020100100130000113244</t>
  </si>
  <si>
    <t>март 2023</t>
  </si>
  <si>
    <t>243860206331686020100100030003240244</t>
  </si>
  <si>
    <t>апрель 2024</t>
  </si>
  <si>
    <t>243860206331686020100100040003240244</t>
  </si>
  <si>
    <t>243860206331686020100100050000000244</t>
  </si>
  <si>
    <t>МБДОУ № 6 "Василек"</t>
  </si>
  <si>
    <t>223860200355786020100100090003240244</t>
  </si>
  <si>
    <t>Поставка товара для игровой деятельности</t>
  </si>
  <si>
    <t>223860200355786020100100100003240244</t>
  </si>
  <si>
    <t>Поставка контейнеров для хранения игрушек</t>
  </si>
  <si>
    <t>223860200355786020100100110003291244</t>
  </si>
  <si>
    <t>Поставка художественных кистей</t>
  </si>
  <si>
    <t>223860200355786020100100130002222244</t>
  </si>
  <si>
    <t>223860200355786020100100140003299244</t>
  </si>
  <si>
    <t>223860200355786020100100210002823244</t>
  </si>
  <si>
    <t>МБДОУ № 7 "Буровичок"</t>
  </si>
  <si>
    <t>223860200357186020100100320001722244</t>
  </si>
  <si>
    <t>Поставка туалетной бумаги и салфеток</t>
  </si>
  <si>
    <t>223860200357186020100100330003240244</t>
  </si>
  <si>
    <t>223860200357186020100100340000000244</t>
  </si>
  <si>
    <t>223860200357186020100100350001712244</t>
  </si>
  <si>
    <t>223860200357186020100100360000000244</t>
  </si>
  <si>
    <t>223860200357186020100100370000000244</t>
  </si>
  <si>
    <t>223860200357186020100100430001011244</t>
  </si>
  <si>
    <t>223860200357186020100100440001011244</t>
  </si>
  <si>
    <t>Поставка субпродуктов говяжьих</t>
  </si>
  <si>
    <t>223860200357186020100100450000147244</t>
  </si>
  <si>
    <t>Поставка яиц куриных</t>
  </si>
  <si>
    <t>223860200357186020100100490003299244</t>
  </si>
  <si>
    <t>Поставка образовательных комплексов</t>
  </si>
  <si>
    <t>223860200357186020100100500002620244</t>
  </si>
  <si>
    <t>Поставка, ввод в эксплуатацию и гарантийное обслуживание технических средств</t>
  </si>
  <si>
    <t>223860200357186020100100510003230244</t>
  </si>
  <si>
    <t>Поставка уличного игрового оборудования</t>
  </si>
  <si>
    <t>223860200357186020100100550003240244</t>
  </si>
  <si>
    <t>223860200357186020100100560003240244</t>
  </si>
  <si>
    <t>233860200357186020100100150003240244</t>
  </si>
  <si>
    <t>233860200357186020100100160000000244</t>
  </si>
  <si>
    <t>233860200357186020100100170001722244</t>
  </si>
  <si>
    <t>Поставка туалетной бумаги и салфеток в 2023 году</t>
  </si>
  <si>
    <t>233860200357186020100100180000000244</t>
  </si>
  <si>
    <t>Поставка канцелярских товаров в 2023 г</t>
  </si>
  <si>
    <t>243860200357186020100100040000000244</t>
  </si>
  <si>
    <t>март 2024</t>
  </si>
  <si>
    <t>243860200357186020100100050001722244</t>
  </si>
  <si>
    <t>Поставка туалетной бумаги и салфеток в 2024 году</t>
  </si>
  <si>
    <t>243860200357186020100100060003240244</t>
  </si>
  <si>
    <t>243860200357186020100100070000000244</t>
  </si>
  <si>
    <t>Поставка канцелярских товаров в 2024 г</t>
  </si>
  <si>
    <t>МБДОУ № 9 "Метелица"</t>
  </si>
  <si>
    <t>223860216650586020100100240003299244</t>
  </si>
  <si>
    <t>Поставка наборов для экспериментирования</t>
  </si>
  <si>
    <t>223860216650586020100100250003299244</t>
  </si>
  <si>
    <t>Поставка игровых комплектов</t>
  </si>
  <si>
    <t>223860216650586020100100290003240244</t>
  </si>
  <si>
    <t>Поставка  игрушек, игровых наборов и комплектов</t>
  </si>
  <si>
    <t>223860216650586020100100300003240244</t>
  </si>
  <si>
    <t>223860216650586020100100310003240244</t>
  </si>
  <si>
    <t>223860216650586020100100320003240244</t>
  </si>
  <si>
    <t>223860216650586020100100360003299244</t>
  </si>
  <si>
    <t>223860216650586020100100370000000244</t>
  </si>
  <si>
    <t>223860216650586020100100380008010244</t>
  </si>
  <si>
    <t>233860216650586020100100180003299244</t>
  </si>
  <si>
    <t>243860216650586020100100010003299244</t>
  </si>
  <si>
    <t>МБДОУ № 14 "Брусничка"</t>
  </si>
  <si>
    <t>223860200181786020100100260002899244</t>
  </si>
  <si>
    <t>Поставка детских игровых комплектов</t>
  </si>
  <si>
    <t>223860200181786020100100270002030244</t>
  </si>
  <si>
    <t>223860200181786020100100280001723244</t>
  </si>
  <si>
    <t>Поставка альбомов для рисования</t>
  </si>
  <si>
    <t>223860200181786020100100290001712244</t>
  </si>
  <si>
    <t>223860200181786020100100300000000244</t>
  </si>
  <si>
    <t>223860200181786020100100310000000244</t>
  </si>
  <si>
    <t>223860200181786020100100330003299244</t>
  </si>
  <si>
    <t>223860200181786020100100350003240244</t>
  </si>
  <si>
    <t>223860200181786020100100370000000244</t>
  </si>
  <si>
    <t>223860200181786020100100380001723244</t>
  </si>
  <si>
    <t>233860200181786020100100070003299244</t>
  </si>
  <si>
    <t>Поставка игрового оборудования</t>
  </si>
  <si>
    <t>233860200181786020100100080001712244</t>
  </si>
  <si>
    <t>МБДОУ № 17 "Белочка"</t>
  </si>
  <si>
    <t>223860216932086020100100290001011244</t>
  </si>
  <si>
    <t>223860216932086020100100300003240244</t>
  </si>
  <si>
    <t>Приобретение учебного оборудования</t>
  </si>
  <si>
    <t>223860216932086020100100310003240244</t>
  </si>
  <si>
    <t>Приобретение игрушек</t>
  </si>
  <si>
    <t>223860216932086020100100320003240244</t>
  </si>
  <si>
    <t>Приобретение игрушек и игрового оборудования</t>
  </si>
  <si>
    <t>223860216932086020100100330003220244</t>
  </si>
  <si>
    <t>Приобретение музыкального оборудования</t>
  </si>
  <si>
    <t>223860216932086020100100340002030244</t>
  </si>
  <si>
    <t>Приобретение канцелярских товаров</t>
  </si>
  <si>
    <t>223860216932086020100100360001011244</t>
  </si>
  <si>
    <t>Поставка мяса в 2022 году</t>
  </si>
  <si>
    <t>223860216932086020100100380003240244</t>
  </si>
  <si>
    <t>Поставка игр, игрушек и игрового оборудования</t>
  </si>
  <si>
    <t>223860216932086020100100390003240244</t>
  </si>
  <si>
    <t>Поставка игрового оборудования, игрушек и игровых наборов</t>
  </si>
  <si>
    <t>223860216932086020100100400002823244</t>
  </si>
  <si>
    <t>233860216932086020100100080001011244</t>
  </si>
  <si>
    <t>233860216932086020100100100001011244</t>
  </si>
  <si>
    <t>233860216932086020100100110002030244</t>
  </si>
  <si>
    <t>243860216932086020100100040001011244</t>
  </si>
  <si>
    <t>243860216932086020100100060002030244</t>
  </si>
  <si>
    <t>243860216932086020100100070001011244</t>
  </si>
  <si>
    <t>МБДОУ № 18 "Мишутка"</t>
  </si>
  <si>
    <t>223860216931286020100100210003299244</t>
  </si>
  <si>
    <t>Поставка изделий народных промыслов</t>
  </si>
  <si>
    <t>223860216931286020100100220003299244</t>
  </si>
  <si>
    <t>Поставка образовательного комплекта</t>
  </si>
  <si>
    <t>223860216931286020100100230003299244</t>
  </si>
  <si>
    <t>223860216931286020100100240003240244</t>
  </si>
  <si>
    <t>Поставка игрушек</t>
  </si>
  <si>
    <t>223860216931286020100100250003220244</t>
  </si>
  <si>
    <t>Поставка музыкального оборудования</t>
  </si>
  <si>
    <t>223860216931286020100100260001723244</t>
  </si>
  <si>
    <t>223860216931286020100100270002823244</t>
  </si>
  <si>
    <t>223860216931286020100100290003299244</t>
  </si>
  <si>
    <t>Поставка образовательных наборов</t>
  </si>
  <si>
    <t>223860216931286020100100300003240244</t>
  </si>
  <si>
    <t>Поставка конструкторов</t>
  </si>
  <si>
    <t>223860216931286020100100310004299244</t>
  </si>
  <si>
    <t>Поставка уличного оборудования</t>
  </si>
  <si>
    <t>223860216931286020100100320003240244</t>
  </si>
  <si>
    <t>223860216931286020100100340003240244</t>
  </si>
  <si>
    <t>223860216931286020100100350003299244</t>
  </si>
  <si>
    <t>223860216931286020100100360003240244</t>
  </si>
  <si>
    <t>Поставка робототехнических наборов</t>
  </si>
  <si>
    <t>223860216931286020100100370003299244</t>
  </si>
  <si>
    <t>223860216931286020100100450003299244</t>
  </si>
  <si>
    <t>223860216931286020100100460003240244</t>
  </si>
  <si>
    <t>223860216931286020100100470002823244</t>
  </si>
  <si>
    <t>Поставка расходных материалов "филоменотик" для учебно-методического набора "Енотик"</t>
  </si>
  <si>
    <t>223860216931286020100100480003299244</t>
  </si>
  <si>
    <t>Поставка учебно-методических наборов для проектной деятельности</t>
  </si>
  <si>
    <t>233860216931286020100100080000113244</t>
  </si>
  <si>
    <t>Поставка продуктов питания в 2023 году</t>
  </si>
  <si>
    <t>233860216931286020100100090003240244</t>
  </si>
  <si>
    <t>Поставка игрушек в 2023 году</t>
  </si>
  <si>
    <t>233860216931286020100100100001723244</t>
  </si>
  <si>
    <t>Поставка канцелярских товаров в 2023 году</t>
  </si>
  <si>
    <t>243860216931286020100100030000113244</t>
  </si>
  <si>
    <t>Поставка продуктов питания в 2024 году</t>
  </si>
  <si>
    <t xml:space="preserve"> апрель 2024</t>
  </si>
  <si>
    <t>243860216931286020100100040003240244</t>
  </si>
  <si>
    <t>Поставка игрушек в 2024 году</t>
  </si>
  <si>
    <t>243860216931286020100100050001723244</t>
  </si>
  <si>
    <t>Поставка канцелярских товаров в 2024 году</t>
  </si>
  <si>
    <t>МБДОУ № 20 "Югорка"</t>
  </si>
  <si>
    <t>223860216930586020100100230004321244</t>
  </si>
  <si>
    <t>223860216930586020100100260003240244</t>
  </si>
  <si>
    <t>Поставка игр,игрушек, игровых наборов и игрового оборудования</t>
  </si>
  <si>
    <t>223860216930586020100100270003299244</t>
  </si>
  <si>
    <t>223860216930586020100100340003299244</t>
  </si>
  <si>
    <t>Поставка игрового модуля</t>
  </si>
  <si>
    <t>МБДОУ № 22 "Сказка"</t>
  </si>
  <si>
    <t>223860200315586020100100340002823244</t>
  </si>
  <si>
    <t>Поставка оригинальных расходных материалов для копировально-множительной техники в 2022 году</t>
  </si>
  <si>
    <t>223860200315586020100100350000000244</t>
  </si>
  <si>
    <t>223860200315586020100100360000000244</t>
  </si>
  <si>
    <t>223860200315586020100100370001712244</t>
  </si>
  <si>
    <t>Поставка офисной бумаги</t>
  </si>
  <si>
    <t>223860200315586020100100440003240244</t>
  </si>
  <si>
    <t>Поставка игр, игровых наборов и конструкторов</t>
  </si>
  <si>
    <t>223860200315586020100100450003299244</t>
  </si>
  <si>
    <t>Поставка карнавальных костюмов</t>
  </si>
  <si>
    <t>223860200315586020100100460003230244</t>
  </si>
  <si>
    <t>223860200315586020100100470003220244</t>
  </si>
  <si>
    <t>Поставка музыкальных инструментов</t>
  </si>
  <si>
    <t>223860200315586020100100480003240244</t>
  </si>
  <si>
    <t>Поставка игр, игрушек, игровых наборов и игровых комплектов</t>
  </si>
  <si>
    <t>223860200315586020100100490003299244</t>
  </si>
  <si>
    <t>223860200315586020100100500003230244</t>
  </si>
  <si>
    <t>223860200315586020100100510003240244</t>
  </si>
  <si>
    <t>223860200315586020100100520008621244</t>
  </si>
  <si>
    <t>Оказание услуг по проведению периодических медицинских осмотров работников в 2022 году</t>
  </si>
  <si>
    <t>223860200315586020100100530003313244</t>
  </si>
  <si>
    <t>Оказание услуг по техническому обслуживанию системы видеонаблюдения в 2022-2023 годах</t>
  </si>
  <si>
    <t>223860200315586020100100540008020244</t>
  </si>
  <si>
    <t>Оказание услуг по техническому обслуживанию системы охранно-пожарной сигнализации и оповещения людей о пожаре в 2022-2023 годах</t>
  </si>
  <si>
    <t>233860200315586020100100080000000244</t>
  </si>
  <si>
    <t>233860200315586020100100090000000244</t>
  </si>
  <si>
    <t>Поставка овощей и зелени</t>
  </si>
  <si>
    <t>233860200315586020100100100003240244</t>
  </si>
  <si>
    <t>Поставка игр, игрушек и игровых наборов</t>
  </si>
  <si>
    <t>243860200315586020100100010000000244</t>
  </si>
  <si>
    <t>243860200315586020100100020003240244</t>
  </si>
  <si>
    <t>243860200315586020100100030000000244</t>
  </si>
  <si>
    <t>МБДОУ № 24 "Космос"</t>
  </si>
  <si>
    <t>223860200339586020100100480002823244</t>
  </si>
  <si>
    <t>223860200339586020100100510001712244</t>
  </si>
  <si>
    <t>223860200339586020100100530001723244</t>
  </si>
  <si>
    <t>223860200339586020100100540003240244</t>
  </si>
  <si>
    <t>223860200339586020100100550003299244</t>
  </si>
  <si>
    <t>223860200339586020100100560003240244</t>
  </si>
  <si>
    <t>Поставка робототехнических наборов и конструкторов</t>
  </si>
  <si>
    <t>233860200339586020100100120001723244</t>
  </si>
  <si>
    <t>233860200339586020100100130003240244</t>
  </si>
  <si>
    <t>243860200339586020100100030001723244</t>
  </si>
  <si>
    <t>243860200339586020100100040003240244</t>
  </si>
  <si>
    <t>МБДОУ № 25 "Родничок"</t>
  </si>
  <si>
    <t>223860200175086020100100080003299244</t>
  </si>
  <si>
    <t>223860200175086020100100090000000244</t>
  </si>
  <si>
    <t>223860200175086020100100200003313244</t>
  </si>
  <si>
    <t>Оказание услуг по техническому обслуживанию системы контроля доступа (видеодомофон) в 2022 -2023 годах</t>
  </si>
  <si>
    <t>223860200175086020100100210003230244</t>
  </si>
  <si>
    <t>223860200175086020100100220003299244</t>
  </si>
  <si>
    <t>223860200175086020100100230003299244</t>
  </si>
  <si>
    <t>223860200175086020100100250003240244</t>
  </si>
  <si>
    <t>233860200175086020100100050000000244</t>
  </si>
  <si>
    <t>Поставка продуктов питания (поставка товара, необходимого для нормального жизнеобеспечения)</t>
  </si>
  <si>
    <t>233860200175086020100100060000000244</t>
  </si>
  <si>
    <t>233860200175086020100100070003299244</t>
  </si>
  <si>
    <t>май 2023</t>
  </si>
  <si>
    <t>233860200175086020100100100008010244</t>
  </si>
  <si>
    <t>МБДОУ № 26 "Золотая рыбка"</t>
  </si>
  <si>
    <t>223860220647686020100100020002823244</t>
  </si>
  <si>
    <t>223860220647686020100100030000000244</t>
  </si>
  <si>
    <t>223860220647686020100100060003299244</t>
  </si>
  <si>
    <t>223860220647686020100100070003240244</t>
  </si>
  <si>
    <t>223860220647686020100100080003230244</t>
  </si>
  <si>
    <t>223860220647686020100100090008621244</t>
  </si>
  <si>
    <t>Оказание услуг по проведению периодических медицинских осмотров в 2022, 2023 году</t>
  </si>
  <si>
    <t>223860220647686020100100410000000244</t>
  </si>
  <si>
    <t>223860220647686020100100420003240244</t>
  </si>
  <si>
    <t>223860220647686020100100470001051244</t>
  </si>
  <si>
    <t>223860220647686020100100490000000244</t>
  </si>
  <si>
    <t>223860220647686020100100500000000244</t>
  </si>
  <si>
    <t>223860220647686020100100510003299244</t>
  </si>
  <si>
    <t>233860220647686020100100120003240244</t>
  </si>
  <si>
    <t>Поставка игр, игрушек, игровых наборов</t>
  </si>
  <si>
    <t>233860220647686020100100150000000244</t>
  </si>
  <si>
    <t>233860220647686020100100160002823244</t>
  </si>
  <si>
    <t>233860220647686020100100170000000244</t>
  </si>
  <si>
    <t>243860220647686020100100210002823244</t>
  </si>
  <si>
    <t>243860220647686020100100220000000244</t>
  </si>
  <si>
    <t>243860220647686020100100280000000244</t>
  </si>
  <si>
    <t>243860220647686020100100290003240244</t>
  </si>
  <si>
    <t>МБДОУ № 27 "Микки-Маус"</t>
  </si>
  <si>
    <t>223860200265986020100100130003240244</t>
  </si>
  <si>
    <t>Поставка дидактических наборов в 2022 году</t>
  </si>
  <si>
    <t>223860200265986020100100140001712244</t>
  </si>
  <si>
    <t>223860200265986020100100150000000244</t>
  </si>
  <si>
    <t>223860200265986020100100160003299244</t>
  </si>
  <si>
    <t>Поставка игровых панелей и модулей</t>
  </si>
  <si>
    <t>223860200265986020100100170000000244</t>
  </si>
  <si>
    <t>223860200265986020100100180003230244</t>
  </si>
  <si>
    <t>Поставка уличных игровых комплексов</t>
  </si>
  <si>
    <t>223860200265986020100100190003240244</t>
  </si>
  <si>
    <t>Поставка робототехнического оборудования</t>
  </si>
  <si>
    <t>223860200265986020100100200002222244</t>
  </si>
  <si>
    <t>223860200265986020100100230003299244</t>
  </si>
  <si>
    <t>223860200265986020100100240004321244</t>
  </si>
  <si>
    <t>223860200265986020100100260000000244</t>
  </si>
  <si>
    <t>223860200265986020100100270003299244</t>
  </si>
  <si>
    <t>Поставка многофункциональных модулей</t>
  </si>
  <si>
    <t>223860200265986020100100280000000244</t>
  </si>
  <si>
    <t>223860200265986020100100290003240244</t>
  </si>
  <si>
    <t>МБДОУ № 28 "Калинка"</t>
  </si>
  <si>
    <t>223860200356486020100100290003299244</t>
  </si>
  <si>
    <t>Поставка дидактических наборов</t>
  </si>
  <si>
    <t>223860200356486020100100300003299244</t>
  </si>
  <si>
    <t>223860200356486020100100310003299244</t>
  </si>
  <si>
    <t>Поставка театральных костюмов</t>
  </si>
  <si>
    <t>223860200356486020100100330003240244</t>
  </si>
  <si>
    <t>Поставка игр и игровых наборов</t>
  </si>
  <si>
    <t>223860200356486020100100340002823244</t>
  </si>
  <si>
    <t>Поставка оригинальных расходных материалов к копировально-множительной технике</t>
  </si>
  <si>
    <t>223860200356486020100100360003299244</t>
  </si>
  <si>
    <t>Поставка учебно-развивающего оборудования</t>
  </si>
  <si>
    <t>223860200356486020100100400003299244</t>
  </si>
  <si>
    <t>223860200356486020100100410003240244</t>
  </si>
  <si>
    <t>233860200356486020100100080003299244</t>
  </si>
  <si>
    <t>233860200356486020100100090003299244</t>
  </si>
  <si>
    <t>233860200356486020100100100003299244</t>
  </si>
  <si>
    <t>233860200356486020100100110003240244</t>
  </si>
  <si>
    <t>233860200356486020100100120002823244</t>
  </si>
  <si>
    <t>233860200356486020100100170001011244</t>
  </si>
  <si>
    <t>Поставка печени говяжьей</t>
  </si>
  <si>
    <t>233860200356486020100100180001051244</t>
  </si>
  <si>
    <t>243860200356486020100100010003299244</t>
  </si>
  <si>
    <t>243860200356486020100100020003299244</t>
  </si>
  <si>
    <t>243860200356486020100100030003299244</t>
  </si>
  <si>
    <t>243860200356486020100100040003240244</t>
  </si>
  <si>
    <t>243860200356486020100100050002823244</t>
  </si>
  <si>
    <t>243860200356486020100100080001051244</t>
  </si>
  <si>
    <t>МБДОУ № 29 "Журавушка"</t>
  </si>
  <si>
    <t>223860219713386020100100200003240244</t>
  </si>
  <si>
    <t>Поставка игровых наборов и игрушек</t>
  </si>
  <si>
    <t>223860219713386020100100210003240244</t>
  </si>
  <si>
    <t>223860219713386020100100220000000244</t>
  </si>
  <si>
    <t>223860219713386020100100230001011244</t>
  </si>
  <si>
    <t>223860219713386020100100260002823244</t>
  </si>
  <si>
    <t>223860219713386020100100290003299244</t>
  </si>
  <si>
    <t>Поставка образовательного комплекса</t>
  </si>
  <si>
    <t>233860219713386020100100060003240244</t>
  </si>
  <si>
    <t xml:space="preserve"> май 2023</t>
  </si>
  <si>
    <t>243860219713386020100100010003240244</t>
  </si>
  <si>
    <t>май 2024</t>
  </si>
  <si>
    <t>МБДОУ № 30 "Семицветик"</t>
  </si>
  <si>
    <t>223860221928186020100100560000000244</t>
  </si>
  <si>
    <t>223860221928186020100100570003230244</t>
  </si>
  <si>
    <t>Поставка спортивных товаров и инвентаря</t>
  </si>
  <si>
    <t>223860221928186020100100580003299244</t>
  </si>
  <si>
    <t>223860221928186020100100600003299244</t>
  </si>
  <si>
    <t>223860221928186020100100610002823244</t>
  </si>
  <si>
    <t>223860221928186020100100620000000244</t>
  </si>
  <si>
    <t>223860221928186020100100630001723244</t>
  </si>
  <si>
    <t>223860221928186020100100650003220244</t>
  </si>
  <si>
    <t>Поставка музыкального оборудование</t>
  </si>
  <si>
    <t>223860221928186020100100660003240244</t>
  </si>
  <si>
    <t>223860221928186020100100670003299244</t>
  </si>
  <si>
    <t>223860221928186020100100680001712244</t>
  </si>
  <si>
    <t>223860221928186020100100690004321244</t>
  </si>
  <si>
    <t>Выполнение работ по монтажу системы охранной сигнализации</t>
  </si>
  <si>
    <t>233860221928186020100100100003230244</t>
  </si>
  <si>
    <t>Поставка игрушек, игровых панелей, наборов и комплектов</t>
  </si>
  <si>
    <t>243860221928186020100100030003230244</t>
  </si>
  <si>
    <t>МБДОУ № 31 "Снегирек"</t>
  </si>
  <si>
    <t>223860220645186020100100150003240244</t>
  </si>
  <si>
    <t>223860220645186020100100160002030244</t>
  </si>
  <si>
    <t>223860220645186020100100180008129244</t>
  </si>
  <si>
    <t>Оказание услуг по дезинсекции и дератизации помещений в 2022 - 2023 годах</t>
  </si>
  <si>
    <t>223860220645186020100100200001712244</t>
  </si>
  <si>
    <t>223860220645186020100100250003240244</t>
  </si>
  <si>
    <t>Поставка игрушек, игровых наборов и игровых комплектов</t>
  </si>
  <si>
    <t>223860220645186020100100260003299244</t>
  </si>
  <si>
    <t>Поставка игровых комплектов, игровых модулей и игровых панелей</t>
  </si>
  <si>
    <t>223860220645186020100100290001723244</t>
  </si>
  <si>
    <t>223860220645186020100100320001723244</t>
  </si>
  <si>
    <t>223860220645186020100100340003299244</t>
  </si>
  <si>
    <t>Поставка наборов для театральных постановок</t>
  </si>
  <si>
    <t>223860220645186020100100350003299244</t>
  </si>
  <si>
    <t>Поставка учебно-игрового комплекса</t>
  </si>
  <si>
    <t>223860220645186020100100360000000244</t>
  </si>
  <si>
    <t>Поставка спортивного оборудования и спортивного инвентаря</t>
  </si>
  <si>
    <t>223860220645186020100100370002899244</t>
  </si>
  <si>
    <t>Приобретение торгово-технологического оборудования</t>
  </si>
  <si>
    <t>223860220645186020100100380007112244</t>
  </si>
  <si>
    <t>223860220645186020100100390004321244</t>
  </si>
  <si>
    <t>223860220645186020100100400000000244</t>
  </si>
  <si>
    <t>223860220645186020100100410000000244</t>
  </si>
  <si>
    <t>233860220645186020100100050001061244</t>
  </si>
  <si>
    <t>233860220645186020100100060003240244</t>
  </si>
  <si>
    <t>243860220645186020100100030001061244</t>
  </si>
  <si>
    <t>243860220645186020100100040003240244</t>
  </si>
  <si>
    <t>МБДОУ № 33 "Аленький цветочек"</t>
  </si>
  <si>
    <t>223860219720786020100100170003240244</t>
  </si>
  <si>
    <t>223860219720786020100100180003240244</t>
  </si>
  <si>
    <t>Поставка развивающих игровых комплексов</t>
  </si>
  <si>
    <t>223860219720786020100100190002823244</t>
  </si>
  <si>
    <t>Поставка комплектующих и расходных материалов к копировально-множительной технике</t>
  </si>
  <si>
    <t>223860219720786020100100230001051244</t>
  </si>
  <si>
    <t>223860219720786020100100250001011244</t>
  </si>
  <si>
    <t>223860219720786020100100260001020244</t>
  </si>
  <si>
    <t>223860219720786020100100280001011244</t>
  </si>
  <si>
    <t>223860219720786020100100290001051244</t>
  </si>
  <si>
    <t>223860219720786020100100320000000244</t>
  </si>
  <si>
    <t>223860219720786020100100330000000244</t>
  </si>
  <si>
    <t>223860219720786020100100340001712244</t>
  </si>
  <si>
    <t>233860219720786020100100070003240244</t>
  </si>
  <si>
    <t>233860219720786020100100080001723244</t>
  </si>
  <si>
    <t>МБДОУ № 34 "Березка"</t>
  </si>
  <si>
    <t>223860220646986020100100240000000244</t>
  </si>
  <si>
    <t>223860220646986020100100250001011244</t>
  </si>
  <si>
    <t>223860220646986020100100260001392244</t>
  </si>
  <si>
    <t>Поставка мягкого инвентаря</t>
  </si>
  <si>
    <t>223860220646986020100100270003240244</t>
  </si>
  <si>
    <t>223860220646986020100100290001011244</t>
  </si>
  <si>
    <t>223860220646986020100100320003240244</t>
  </si>
  <si>
    <t>223860220646986020100100330000000244</t>
  </si>
  <si>
    <t>223860220646986020100100360002823244</t>
  </si>
  <si>
    <t>223860220646986020100100390003299244</t>
  </si>
  <si>
    <t>223860220646986020100100400003230244</t>
  </si>
  <si>
    <t>223860220646986020100100470003299244</t>
  </si>
  <si>
    <t>Поставка демонстрационных модулей</t>
  </si>
  <si>
    <t>223860220646986020100100480004321244</t>
  </si>
  <si>
    <t>223860220646986020100100490003299244</t>
  </si>
  <si>
    <t>243860220646986020100100010000000244</t>
  </si>
  <si>
    <t>243860220646986020100100040001011244</t>
  </si>
  <si>
    <t>МБДОУ № 36 "Яблонька"</t>
  </si>
  <si>
    <t>223860225480086020100100220003240244</t>
  </si>
  <si>
    <t>223860225480086020100100250003299244</t>
  </si>
  <si>
    <t>223860225480086020100100260002640244</t>
  </si>
  <si>
    <t>Поставка техники бытовой электронной</t>
  </si>
  <si>
    <t>223860225480086020100100270002640244</t>
  </si>
  <si>
    <t>223860225480086020100100280003240244</t>
  </si>
  <si>
    <t>Игры, игрушки, игровое оборудование</t>
  </si>
  <si>
    <t>223860225480086020100100290003299244</t>
  </si>
  <si>
    <t>223860225480086020100100300003220244</t>
  </si>
  <si>
    <t>223860225480086020100100310003299244</t>
  </si>
  <si>
    <t>223860225480086020100100320003240244</t>
  </si>
  <si>
    <t>223860225480086020100100330003240244</t>
  </si>
  <si>
    <t>223860225480086020100100340003299244</t>
  </si>
  <si>
    <t>Поставка образовательных модулей</t>
  </si>
  <si>
    <t>223860225480086020100100350003230244</t>
  </si>
  <si>
    <t>223860225480086020100100360003240244</t>
  </si>
  <si>
    <t>223860225480086020100100380001011244</t>
  </si>
  <si>
    <t>223860225480086020100100390003299244</t>
  </si>
  <si>
    <t>223860225480086020100100430003240244</t>
  </si>
  <si>
    <t>223860225480086020100100450003230244</t>
  </si>
  <si>
    <t>233860225480086020100100130003240244</t>
  </si>
  <si>
    <t>поставка игр, игрушек, игрового оборудования</t>
  </si>
  <si>
    <t>233860225480086020100100140003240244</t>
  </si>
  <si>
    <t>233860225480086020100100150005629244</t>
  </si>
  <si>
    <t>233860225480086020100100160003299244</t>
  </si>
  <si>
    <t>233860225480086020100100170005629244</t>
  </si>
  <si>
    <t>продукты питания</t>
  </si>
  <si>
    <t>243860225480086020100100030003240244</t>
  </si>
  <si>
    <t>поставка игр, игрушек игрового оборудования</t>
  </si>
  <si>
    <t>243860225480086020100100050003240244</t>
  </si>
  <si>
    <t>Игры, игрушки, игровые наборы</t>
  </si>
  <si>
    <t>243860225480086020100100060005629244</t>
  </si>
  <si>
    <t>243860225480086020100100070003299244</t>
  </si>
  <si>
    <t>243860225480086020100100080005629244</t>
  </si>
  <si>
    <t>МБДОУ № 37 "Колокольчик"</t>
  </si>
  <si>
    <t>223860220556086020100100270000000244</t>
  </si>
  <si>
    <t>223860220556086020100100300003240244</t>
  </si>
  <si>
    <t>223860220556086020100100320003240244</t>
  </si>
  <si>
    <t>223860220556086020100100360001051244</t>
  </si>
  <si>
    <t>223860220556086020100100370002823244</t>
  </si>
  <si>
    <t>223860220556086020100100380003240244</t>
  </si>
  <si>
    <t>223860220556086020100100390008621244</t>
  </si>
  <si>
    <t>Оказание услуг по проведению периодического медицинского осмотра сотрудников в 2023-2024 годах</t>
  </si>
  <si>
    <t>223860220556086020100100400000000244</t>
  </si>
  <si>
    <t>Оказание услуг по зимнему содержанию территории и крыш в 2023-2024 годах</t>
  </si>
  <si>
    <t>223860220556086020100100410003240244</t>
  </si>
  <si>
    <t>Поставка игрушек и игрового оборудования</t>
  </si>
  <si>
    <t>223860220556086020100100440001723244</t>
  </si>
  <si>
    <t>Поставка цветной бумаги</t>
  </si>
  <si>
    <t>223860220556086020100100450001712244</t>
  </si>
  <si>
    <t>Поставка бумаги, картона</t>
  </si>
  <si>
    <t>223860220556086020100100460003240244</t>
  </si>
  <si>
    <t>223860220556086020100100510003240244</t>
  </si>
  <si>
    <t>Поставка театральных сундучков</t>
  </si>
  <si>
    <t>223860220556086020100100520003240244</t>
  </si>
  <si>
    <t>Поставка музыкальных народных инструментов</t>
  </si>
  <si>
    <t>223860220556086020100100530003299244</t>
  </si>
  <si>
    <t>223860220556086020100100540003240244</t>
  </si>
  <si>
    <t>Поставка игр и игрушек</t>
  </si>
  <si>
    <t>243860220556086020100100020002823244</t>
  </si>
  <si>
    <t>243860220556086020100100030003240244</t>
  </si>
  <si>
    <t>МБДОУ № 38 "Зоренька"</t>
  </si>
  <si>
    <t>223860200342086020100100450003240244</t>
  </si>
  <si>
    <t>223860200342086020100100460000000244</t>
  </si>
  <si>
    <t>223860200342086020100100480004321244</t>
  </si>
  <si>
    <t>223860200342086020100100490004321244</t>
  </si>
  <si>
    <t>223860200342086020100100520003299244</t>
  </si>
  <si>
    <t>223860200342086020100100530003299244</t>
  </si>
  <si>
    <t>223860200342086020100100540003240244</t>
  </si>
  <si>
    <t>223860200342086020100100550003240244</t>
  </si>
  <si>
    <t>223860200342086020100100590003299244</t>
  </si>
  <si>
    <t>233860200342086020100100090003240244</t>
  </si>
  <si>
    <t>233860200342086020100100130001011244</t>
  </si>
  <si>
    <t>233860200342086020100100140000000244</t>
  </si>
  <si>
    <t>233860200342086020100100150001051244</t>
  </si>
  <si>
    <t>243860200342086020100100030000000244</t>
  </si>
  <si>
    <t>243860200342086020100100040001051244</t>
  </si>
  <si>
    <t>243860200342086020100100050001011244</t>
  </si>
  <si>
    <t>243860200342086020100100060003240244</t>
  </si>
  <si>
    <t>МБДОУ № 40 "Снегурочка"</t>
  </si>
  <si>
    <t>223860220032286020100100530003230244</t>
  </si>
  <si>
    <t>Поставка игровых комплексов</t>
  </si>
  <si>
    <t>223860220032286020100100540003299244</t>
  </si>
  <si>
    <t>223860220032286020100100580002823244</t>
  </si>
  <si>
    <t>223860220032286020100100590001712244</t>
  </si>
  <si>
    <t>223860220032286020100100600000000244</t>
  </si>
  <si>
    <t>223860220032286020100100610001723244</t>
  </si>
  <si>
    <t>223860220032286020100100620000000244</t>
  </si>
  <si>
    <t>223860220032286020100100630005811244</t>
  </si>
  <si>
    <t>Поставка раскрасок</t>
  </si>
  <si>
    <t>223860220032286020100100640003240244</t>
  </si>
  <si>
    <t>Поставка развивающих комплектов и игровых наборов</t>
  </si>
  <si>
    <t>223860220032286020100100660001011244</t>
  </si>
  <si>
    <t xml:space="preserve">Поставка мяса в 2022, 2023 годах </t>
  </si>
  <si>
    <t>223860220032286020100100680001051244</t>
  </si>
  <si>
    <t xml:space="preserve">Поставка масла сливочного в 2022, 2023 годах </t>
  </si>
  <si>
    <t>223860220032286020100100690003240244</t>
  </si>
  <si>
    <t>223860220032286020100100700003230244</t>
  </si>
  <si>
    <t>223860220032286020100100730004321244</t>
  </si>
  <si>
    <t>Выполнение работ по демонтажу и монтажу системы пожарной сигнализации и системы оповещения людей о пожаре</t>
  </si>
  <si>
    <t>233860220032286020100100090003230244</t>
  </si>
  <si>
    <t>233860220032286020100100100003299244</t>
  </si>
  <si>
    <t>233860220032286020100100110001011244</t>
  </si>
  <si>
    <t xml:space="preserve">Поставка продуктов питания в 2023 г </t>
  </si>
  <si>
    <t>243860220032286020100100030003230244</t>
  </si>
  <si>
    <t xml:space="preserve"> март 2024</t>
  </si>
  <si>
    <t>243860220032286020100100040003299244</t>
  </si>
  <si>
    <t>243860220032286020100100050001011244</t>
  </si>
  <si>
    <t xml:space="preserve">Поставка продуктов питания в 2024 г </t>
  </si>
  <si>
    <t>МБДОУ № 41 "Рябинушка"</t>
  </si>
  <si>
    <t>223860200354086020100100420003240244</t>
  </si>
  <si>
    <t>223860200354086020100100440004321244</t>
  </si>
  <si>
    <t>223860200354086020100100450004321244</t>
  </si>
  <si>
    <t>Выполнение работ по монтажу охранной сигнализации</t>
  </si>
  <si>
    <t>223860200354086020100100460004321244</t>
  </si>
  <si>
    <t>Выполнение работ по монтажу системы цифрового видеонаблюдения</t>
  </si>
  <si>
    <t>223860200354086020100100470003240244</t>
  </si>
  <si>
    <t>223860200354086020100100480003299244</t>
  </si>
  <si>
    <t>233860200354086020100100430003240244</t>
  </si>
  <si>
    <t>243860200354086020100100410003240244</t>
  </si>
  <si>
    <t>Поставки игр, игрушек и игрового оборудования</t>
  </si>
  <si>
    <t>МБДОУ № 43 "Лесная сказка"</t>
  </si>
  <si>
    <t>223860225478386020100100320008010244</t>
  </si>
  <si>
    <t>223860225478386020100100330001051244</t>
  </si>
  <si>
    <t>Поставка  продуктов  питания</t>
  </si>
  <si>
    <t>223860225478386020100100340001712244</t>
  </si>
  <si>
    <t>223860225478386020100100350001722244</t>
  </si>
  <si>
    <t>223860225478386020100100360000000244</t>
  </si>
  <si>
    <t>223860225478386020100100370003240244</t>
  </si>
  <si>
    <t>223860225478386020100100400005811244</t>
  </si>
  <si>
    <t>Поставка книжек-раскрасок</t>
  </si>
  <si>
    <t>223860225478386020100100430002823244</t>
  </si>
  <si>
    <t>Поставка оригинальных расходных материалов для копировально-множительной техники в 2023г</t>
  </si>
  <si>
    <t>223860225478386020100100460008621244</t>
  </si>
  <si>
    <t>Оказание услуг по проведению периодических медицинских осмотров работников в 2023 году</t>
  </si>
  <si>
    <t>223860225478386020100100490003320244</t>
  </si>
  <si>
    <t>Приобретение, монтаж, выполнение пусконаладочных работ системы цифрового видеонаблюдения с функцией идентификации</t>
  </si>
  <si>
    <t>223860225478386020100100520001712244</t>
  </si>
  <si>
    <t>223860225478386020100100530005811244</t>
  </si>
  <si>
    <t>223860225478386020100100540002823244</t>
  </si>
  <si>
    <t>Поставка оригинальных расходных материалов для копировально-множительной техники в 2022г</t>
  </si>
  <si>
    <t>223860225478386020100100550003240244</t>
  </si>
  <si>
    <t>223860225478386020100100560003240244</t>
  </si>
  <si>
    <t>223860225478386020100100570000113244</t>
  </si>
  <si>
    <t>223860225478386020100100580001011244</t>
  </si>
  <si>
    <t>223860225478386020100100590001086244</t>
  </si>
  <si>
    <t>Поставка сока</t>
  </si>
  <si>
    <t>233860225478386020100100240001051244</t>
  </si>
  <si>
    <t>233860225478386020100100250003240244</t>
  </si>
  <si>
    <t>233860225478386020100100260002030244</t>
  </si>
  <si>
    <t>243860225478386020100100010002030244</t>
  </si>
  <si>
    <t>243860225478386020100100020003240244</t>
  </si>
  <si>
    <t>МБДОУ № 44 "Сибирячок"</t>
  </si>
  <si>
    <t>223860226033986020100100280003320244</t>
  </si>
  <si>
    <t>223860226033986020100100290000000244</t>
  </si>
  <si>
    <t>Поставка игрушек. развивающих и игровых наборов</t>
  </si>
  <si>
    <t>223860226033986020100100350000000244</t>
  </si>
  <si>
    <t>223860226033986020100100360000000244</t>
  </si>
  <si>
    <t>Поставка учебно-методических комплектов</t>
  </si>
  <si>
    <t>223860226033986020100100390002823244</t>
  </si>
  <si>
    <t>223860226033986020100100400003299244</t>
  </si>
  <si>
    <t>223860226033986020100100450003299244</t>
  </si>
  <si>
    <t>223860226033986020100100460000000244</t>
  </si>
  <si>
    <t>Поставка спортивного инвентаря и оборудования</t>
  </si>
  <si>
    <t>223860226033986020100100470003230244</t>
  </si>
  <si>
    <t>223860226033986020100100480003240244</t>
  </si>
  <si>
    <t>Поставка игрушек, развивающих и игровых наборов</t>
  </si>
  <si>
    <t>223860226033986020100100490003240244</t>
  </si>
  <si>
    <t>223860226033986020100100500003109244</t>
  </si>
  <si>
    <t>Поставка детских стульчиков</t>
  </si>
  <si>
    <t>233860226033986020100100100000000244</t>
  </si>
  <si>
    <t>233860226033986020100100120000000244</t>
  </si>
  <si>
    <t>Поставка игр, игрушек, игрового оборудования</t>
  </si>
  <si>
    <t>233860226033986020100100140000000244</t>
  </si>
  <si>
    <t>233860226033986020100100180002823244</t>
  </si>
  <si>
    <t>Поставка оригинальных расходных материалов для копировально-множительной технике и периферийного оборудования</t>
  </si>
  <si>
    <t>243860226033986020100100040000000244</t>
  </si>
  <si>
    <t>243860226033986020100100060000000244</t>
  </si>
  <si>
    <t>243860226033986020100100130002823244</t>
  </si>
  <si>
    <t>МБДОУ № 45 "Волчок"</t>
  </si>
  <si>
    <t>223860227229286020100100130003240244</t>
  </si>
  <si>
    <t>Поставка игровых наборов</t>
  </si>
  <si>
    <t>223860227229286020100100140000000244</t>
  </si>
  <si>
    <t>223860227229286020100100150002823244</t>
  </si>
  <si>
    <t>223860227229286020100100180001051244</t>
  </si>
  <si>
    <t>223860227229286020100100190003240244</t>
  </si>
  <si>
    <t>223860227229286020100100210003240244</t>
  </si>
  <si>
    <t>223860227229286020100100220008129244</t>
  </si>
  <si>
    <t>Оказание услуг по дезинсекции и дератизации помещений в 2022-2023 годах</t>
  </si>
  <si>
    <t>223860227229286020100100240000000244</t>
  </si>
  <si>
    <t>223860227229286020100100250000000244</t>
  </si>
  <si>
    <t>233860227229286020100100040001020244</t>
  </si>
  <si>
    <t>233860227229286020100100070003240244</t>
  </si>
  <si>
    <t>233860227229286020100100080002823244</t>
  </si>
  <si>
    <t>243860227229286020100100040001051244</t>
  </si>
  <si>
    <t>243860227229286020100100050003240244</t>
  </si>
  <si>
    <t>243860227229286020100100060002823244</t>
  </si>
  <si>
    <t>МБДОУ № 47 "Гусельки"</t>
  </si>
  <si>
    <t>223860200358986020100100660008010244</t>
  </si>
  <si>
    <t>223860200358986020100100670003240244</t>
  </si>
  <si>
    <t>223860200358986020100100700003240244</t>
  </si>
  <si>
    <t>223860200358986020100100730000000244</t>
  </si>
  <si>
    <t>223860200358986020100100740003230244</t>
  </si>
  <si>
    <t>223860200358986020100100760003240244</t>
  </si>
  <si>
    <t>223860200358986020100100770003240244</t>
  </si>
  <si>
    <t>233860200358986020100100090008010244</t>
  </si>
  <si>
    <t>233860200358986020100100190002823244</t>
  </si>
  <si>
    <t>233860200358986020100100200003240244</t>
  </si>
  <si>
    <t>233860200358986020100100210003240244</t>
  </si>
  <si>
    <t>233860200358986020100100220000000244</t>
  </si>
  <si>
    <t>243860200358986020100100030003240244</t>
  </si>
  <si>
    <t>243860200358986020100100060002823244</t>
  </si>
  <si>
    <t>МБДОУ № 48 "Росток"</t>
  </si>
  <si>
    <t>223860224790986020100100190003240244</t>
  </si>
  <si>
    <t>Поставка игровых комплектов, наборов, панелей и игрушек</t>
  </si>
  <si>
    <t>223860224790986020100100200008020244</t>
  </si>
  <si>
    <t>223860224790986020100100220000000244</t>
  </si>
  <si>
    <t>Поставка канцелярских товаров в 2022 году</t>
  </si>
  <si>
    <t>223860224790986020100100230001051244</t>
  </si>
  <si>
    <t>223860224790986020100100260001392244</t>
  </si>
  <si>
    <t>Поставка комплектов постельного белья</t>
  </si>
  <si>
    <t>223860224790986020100100280001011244</t>
  </si>
  <si>
    <t>223860224790986020100100290001011244</t>
  </si>
  <si>
    <t>233860224790986020100100060003240244</t>
  </si>
  <si>
    <t>Прставка игр и игрушек в 2023 году</t>
  </si>
  <si>
    <t>233860224790986020100100070000000244</t>
  </si>
  <si>
    <t>МБДОУ № 56 "Искорка"</t>
  </si>
  <si>
    <t>223860200350086020100100240001392244</t>
  </si>
  <si>
    <t>223860200350086020100100250003240244</t>
  </si>
  <si>
    <t>223860200350086020100100260001011244</t>
  </si>
  <si>
    <t>223860200350086020100100270003240244</t>
  </si>
  <si>
    <t>223860200350086020100100300005811244</t>
  </si>
  <si>
    <t>Поставка комплектов учебно-методического раздаточного материала</t>
  </si>
  <si>
    <t>223860200350086020100100350004321244</t>
  </si>
  <si>
    <t>223860200350086020100100360003299244</t>
  </si>
  <si>
    <t>223860200350086020100100370003299244</t>
  </si>
  <si>
    <t>Поставка игровых комплектов и игровых модулей</t>
  </si>
  <si>
    <t>233860200350086020100100320008010244</t>
  </si>
  <si>
    <t>233860200350086020100100340000000244</t>
  </si>
  <si>
    <t>233860200350086020100100350003240244</t>
  </si>
  <si>
    <t>243860200350086020100100020008010244</t>
  </si>
  <si>
    <t>243860200350086020100100040000000244</t>
  </si>
  <si>
    <t>243860200350086020100100050003240244</t>
  </si>
  <si>
    <t>МБДОУ № 61 "Лель"</t>
  </si>
  <si>
    <t>223860200263486020100100390001712244</t>
  </si>
  <si>
    <t>223860200263486020100100400000000244</t>
  </si>
  <si>
    <t>223860200263486020100100410000000244</t>
  </si>
  <si>
    <t>223860200263486020100100420000000244</t>
  </si>
  <si>
    <t>223860200263486020100100430005811244</t>
  </si>
  <si>
    <t>223860200263486020100100440002823244</t>
  </si>
  <si>
    <t>223860200263486020100100450008621244</t>
  </si>
  <si>
    <t>Оказание услуг по проведению периодических  медицинских осмотров в 2022 году</t>
  </si>
  <si>
    <t>223860200263486020100100460003230244</t>
  </si>
  <si>
    <t>223860200263486020100100470003240244</t>
  </si>
  <si>
    <t>223860200263486020100100490004321244</t>
  </si>
  <si>
    <t>223860200263486020100100500004321244</t>
  </si>
  <si>
    <t>Приобретение, монтажа, выполнения пусконаладочных работ системы пожарной сигнализации и оповещения людей о пожаре</t>
  </si>
  <si>
    <t>223860200263486020100100570001051244</t>
  </si>
  <si>
    <t>223860200263486020100100630003240244</t>
  </si>
  <si>
    <t>223860200263486020100100640003299244</t>
  </si>
  <si>
    <t>223860200263486020100100650003299244</t>
  </si>
  <si>
    <t>Поставка костюмов для театральных представлений</t>
  </si>
  <si>
    <t>223860200263486020100100660003240244</t>
  </si>
  <si>
    <t>223860200263486020100100680008010244</t>
  </si>
  <si>
    <t>223860200263486020100100690001723244</t>
  </si>
  <si>
    <t>223860200263486020100100700003299244</t>
  </si>
  <si>
    <t>223860200263486020100100710003240244</t>
  </si>
  <si>
    <t>233860200263486020100100140001051244</t>
  </si>
  <si>
    <t>233860200263486020100100150003240244</t>
  </si>
  <si>
    <t>233860200263486020100100160000000244</t>
  </si>
  <si>
    <t>243860200263486020100100030003240244</t>
  </si>
  <si>
    <t>243860200263486020100100040000000244</t>
  </si>
  <si>
    <t>МБДОУ № 65 "Фестивальный"</t>
  </si>
  <si>
    <t>223860200337086020100100480001085244</t>
  </si>
  <si>
    <t>223860200337086020100100490003240244</t>
  </si>
  <si>
    <t>Поставка игр, игрушек, игровых и развивающих наборов</t>
  </si>
  <si>
    <t>223860200337086020100100500003240244</t>
  </si>
  <si>
    <t>223860200337086020100100510002640244</t>
  </si>
  <si>
    <t>Разработка проекта, поставка, монтаж и ввод в эксплуатацию системы видеонаблюдения</t>
  </si>
  <si>
    <t>223860200337086020100100520003299244</t>
  </si>
  <si>
    <t>223860200337086020100100530002222244</t>
  </si>
  <si>
    <t>223860200337086020100100540003230244</t>
  </si>
  <si>
    <t>223860200337086020100100550003230244</t>
  </si>
  <si>
    <t>223860200337086020100100560003299244</t>
  </si>
  <si>
    <t>Поставка учебно-игрового оборудования</t>
  </si>
  <si>
    <t>223860200337086020100100570001011244</t>
  </si>
  <si>
    <t>223860200337086020100100580003240244</t>
  </si>
  <si>
    <t>223860200337086020100100590003299244</t>
  </si>
  <si>
    <t>223860200337086020100100670001051244</t>
  </si>
  <si>
    <t>223860200337086020100100680000000244</t>
  </si>
  <si>
    <t>233860200337086020100100080001085244</t>
  </si>
  <si>
    <t>233860200337086020100100090003240244</t>
  </si>
  <si>
    <t>233860200337086020100100100003240244</t>
  </si>
  <si>
    <t>243860200337086020100100020001085244</t>
  </si>
  <si>
    <t>243860200337086020100100030003240244</t>
  </si>
  <si>
    <t>243860200337086020100100040003240244</t>
  </si>
  <si>
    <t>МБДОУ №70 "Голубок"</t>
  </si>
  <si>
    <t>223860200343786020100100010003240244</t>
  </si>
  <si>
    <t>223860200343786020100100350003240244</t>
  </si>
  <si>
    <t>223860200343786020100100360003240244</t>
  </si>
  <si>
    <t>Поставка игрового оборудования, игровых наборов, игр, игрушек и изделий народных и художественных промыслов</t>
  </si>
  <si>
    <t>223860200343786020100100370002823244</t>
  </si>
  <si>
    <t>223860200343786020100100420003299244</t>
  </si>
  <si>
    <t>223860200343786020100100450003240244</t>
  </si>
  <si>
    <t>Поставка игрового оборудования, игровых наборов, игр, игрушек</t>
  </si>
  <si>
    <t>223860200343786020100100480003240244</t>
  </si>
  <si>
    <t>Поставка учебного оборудования (робототехника) и игровых наборов</t>
  </si>
  <si>
    <t>223860200343786020100100490003299244</t>
  </si>
  <si>
    <t>223860200343786020100100500001011244</t>
  </si>
  <si>
    <t>223860200343786020100100510001020244</t>
  </si>
  <si>
    <t>223860200343786020100100520001051244</t>
  </si>
  <si>
    <t>223860200343786020100100530008010244</t>
  </si>
  <si>
    <t>223860200343786020100100550004321244</t>
  </si>
  <si>
    <t>223860200343786020100100560001051244</t>
  </si>
  <si>
    <t>Поставка  продуктов питания</t>
  </si>
  <si>
    <t>233860200343786020100100200001051244</t>
  </si>
  <si>
    <t>233860200343786020100100210003240244</t>
  </si>
  <si>
    <t>233860200343786020100100220003240244</t>
  </si>
  <si>
    <t>243860200343786020100100050003240244</t>
  </si>
  <si>
    <t>243860200343786020100100060003240244</t>
  </si>
  <si>
    <t>243860200343786020100100080001051244</t>
  </si>
  <si>
    <t>МБДОУ № 74 "Филиппок"</t>
  </si>
  <si>
    <t>223860200361386020100100130003240244</t>
  </si>
  <si>
    <t>223860200361386020100100140002823244</t>
  </si>
  <si>
    <t>223860200361386020100100160001051244</t>
  </si>
  <si>
    <t>223860200361386020100100190001051244</t>
  </si>
  <si>
    <t>223860200361386020100100230003230244</t>
  </si>
  <si>
    <t>223860200361386020100100240003240244</t>
  </si>
  <si>
    <t>223860200361386020100100260001011244</t>
  </si>
  <si>
    <t>223860200361386020100100270001020244</t>
  </si>
  <si>
    <t>Поставка рыбы</t>
  </si>
  <si>
    <t>223860200361386020100100290003240244</t>
  </si>
  <si>
    <t>223860200361386020100100340003299244</t>
  </si>
  <si>
    <t>233860200361386020100100060003240244</t>
  </si>
  <si>
    <t>243860200361386020100100020003240244</t>
  </si>
  <si>
    <t>МБДОУ № 77 "Бусинка"</t>
  </si>
  <si>
    <t>223860200340586020100100330000000244</t>
  </si>
  <si>
    <t>223860200340586020100100340000000244</t>
  </si>
  <si>
    <t>223860200340586020100100350003320244</t>
  </si>
  <si>
    <t>Выполнение пусконаладочных работ системы цифрового видеонаблюдения с функцией идентификации</t>
  </si>
  <si>
    <t>223860200340586020100100360004321244</t>
  </si>
  <si>
    <t>223860200340586020100100400002823244</t>
  </si>
  <si>
    <t>223860200340586020100100410000000244</t>
  </si>
  <si>
    <t>223860200340586020100100420000000244</t>
  </si>
  <si>
    <t>223860200340586020100100430000000244</t>
  </si>
  <si>
    <t>223860200340586020100100480003299244</t>
  </si>
  <si>
    <t>223860200340586020100100500003230244</t>
  </si>
  <si>
    <t>223860200340586020100100510003299244</t>
  </si>
  <si>
    <t>223860200340586020100100520003240244</t>
  </si>
  <si>
    <t>223860200340586020100100530005811244</t>
  </si>
  <si>
    <t>223860200340586020100100540005811244</t>
  </si>
  <si>
    <t>Поставка художественной литературы</t>
  </si>
  <si>
    <t>223860200340586020100100550003240244</t>
  </si>
  <si>
    <t>Поставка декоративно-развивающих панелей</t>
  </si>
  <si>
    <t>223860200340586020100100560003230244</t>
  </si>
  <si>
    <t>233860200340586020100100120000000244</t>
  </si>
  <si>
    <t>233860200340586020100100130000000244</t>
  </si>
  <si>
    <t>243860200340586020100100040000000244</t>
  </si>
  <si>
    <t>243860200340586020100100050000000244</t>
  </si>
  <si>
    <t>243860200340586020100100060000000244</t>
  </si>
  <si>
    <t>МБДОУ № 78 "Ивушка"</t>
  </si>
  <si>
    <t>223860200240186020100100360002640244</t>
  </si>
  <si>
    <t>223860200240186020100100370004321244</t>
  </si>
  <si>
    <t>223860200240186020100100410000147244</t>
  </si>
  <si>
    <t>223860200240186020100100460002823244</t>
  </si>
  <si>
    <t>223860200240186020100100470003299244</t>
  </si>
  <si>
    <t>223860200240186020100100480003230244</t>
  </si>
  <si>
    <t>223860200240186020100100490003230244</t>
  </si>
  <si>
    <t>223860200240186020100100500003102244</t>
  </si>
  <si>
    <t>Поставка кухонной мебели</t>
  </si>
  <si>
    <t>223860200240186020100100510001051244</t>
  </si>
  <si>
    <t>223860200240186020100100520003230244</t>
  </si>
  <si>
    <t>223860200240186020100100530004321244</t>
  </si>
  <si>
    <t>223860200240186020100100540008010244</t>
  </si>
  <si>
    <t>223860200240186020100100550003240244</t>
  </si>
  <si>
    <t>223860200240186020100100560003299244</t>
  </si>
  <si>
    <t>233860200240186020100100080000000244</t>
  </si>
  <si>
    <t>233860200240186020100100100003299244</t>
  </si>
  <si>
    <t>233860200240186020100100110002823244</t>
  </si>
  <si>
    <t>243860200240186020100100050003299244</t>
  </si>
  <si>
    <t>243860200240186020100100060002823244</t>
  </si>
  <si>
    <t>243860200240186020100100070000000244</t>
  </si>
  <si>
    <t>МБДОУ № 81 "Мальвина"</t>
  </si>
  <si>
    <t>223860200262786020100100620003240244</t>
  </si>
  <si>
    <t>223860200262786020100100630005811244</t>
  </si>
  <si>
    <t>Поставка книжек-аппликаций и книжек-раскрасок</t>
  </si>
  <si>
    <t>223860200262786020100100660006201244</t>
  </si>
  <si>
    <t>Передача неисключительных прав на использование лицензионного программного обеспечения</t>
  </si>
  <si>
    <t>223860200262786020100100690003240244</t>
  </si>
  <si>
    <t>223860200262786020100100700003220244</t>
  </si>
  <si>
    <t>Поставка цифрового пианино</t>
  </si>
  <si>
    <t>223860200262786020100100720008129244</t>
  </si>
  <si>
    <t>233860200262786020100100150003240244</t>
  </si>
  <si>
    <t>233860200262786020100100160000000244</t>
  </si>
  <si>
    <t>243860200262786020100100030003240244</t>
  </si>
  <si>
    <t>243860200262786020100100040000000244</t>
  </si>
  <si>
    <t>МБДОУ № 89 "Крепыш"</t>
  </si>
  <si>
    <t>223860200363886020100100350003240244</t>
  </si>
  <si>
    <t>223860200363886020100100360003240244</t>
  </si>
  <si>
    <t>223860200363886020100100390004321244</t>
  </si>
  <si>
    <t>223860200363886020100100400003320244</t>
  </si>
  <si>
    <t>Выполнение работ по монтажу видеонаблюдения</t>
  </si>
  <si>
    <t>223860200363886020100100410001712244</t>
  </si>
  <si>
    <t>223860200363886020100100430000000244</t>
  </si>
  <si>
    <t>223860200363886020100100440000000244</t>
  </si>
  <si>
    <t>223860200363886020100100450001011244</t>
  </si>
  <si>
    <t>223860200363886020100100460003240244</t>
  </si>
  <si>
    <t>223860200363886020100100470003240244</t>
  </si>
  <si>
    <t>Поставка игрушек, игровых наборов и игровых модулей</t>
  </si>
  <si>
    <t>223860200363886020100100480003240244</t>
  </si>
  <si>
    <t>Поставка игровых модулей и игровых наборов</t>
  </si>
  <si>
    <t>223860200363886020100100510002823244</t>
  </si>
  <si>
    <t>233860200363886020100100080003240244</t>
  </si>
  <si>
    <t>233860200363886020100100090003299244</t>
  </si>
  <si>
    <t>243860200363886020100100020003240244</t>
  </si>
  <si>
    <t>243860200363886020100100070001011244</t>
  </si>
  <si>
    <t>МБДОУ № 92 "Веснушка"</t>
  </si>
  <si>
    <t>223860200335686020100100560001011244</t>
  </si>
  <si>
    <t>223860200335686020100100590003230244</t>
  </si>
  <si>
    <t>223860200335686020100100600002030244</t>
  </si>
  <si>
    <t>223860200335686020100100610008020244</t>
  </si>
  <si>
    <t>Приобретение, монтаж, выполнение пусконаладочных работ системы охранной сигнализации</t>
  </si>
  <si>
    <t>223860200335686020100100620008020244</t>
  </si>
  <si>
    <t>223860200335686020100100650003299244</t>
  </si>
  <si>
    <t>223860200335686020100100660003299244</t>
  </si>
  <si>
    <t>223860200335686020100100670003230244</t>
  </si>
  <si>
    <t>223860200335686020100100710003230244</t>
  </si>
  <si>
    <t>223860200335686020100100720003240244</t>
  </si>
  <si>
    <t>223860200335686020100100730003291244</t>
  </si>
  <si>
    <t>223860200335686020100100740001723244</t>
  </si>
  <si>
    <t>Поставка бумажных изделий</t>
  </si>
  <si>
    <t>223860200335686020100100750002823244</t>
  </si>
  <si>
    <t>Поставка оригинальных расходных  материалов для копировально-множительной техники</t>
  </si>
  <si>
    <t>223860200335686020100100760001723244</t>
  </si>
  <si>
    <t>233860200335686020100100200001011244</t>
  </si>
  <si>
    <t>233860200335686020100100210003230244</t>
  </si>
  <si>
    <t>233860200335686020100100220002030244</t>
  </si>
  <si>
    <t>243860200335686020100100510001011244</t>
  </si>
  <si>
    <t>243860200335686020100100520002030244</t>
  </si>
  <si>
    <t>243860200335686020100100530003230244</t>
  </si>
  <si>
    <t>МКУ «Управление дошкольными образовательными учреждениями»</t>
  </si>
  <si>
    <t>МКУ  "Центр диагностики и консультирования"</t>
  </si>
  <si>
    <t>184</t>
  </si>
  <si>
    <t>03.2022</t>
  </si>
  <si>
    <t>04.2022</t>
  </si>
  <si>
    <t>05.2022</t>
  </si>
  <si>
    <t>271</t>
  </si>
  <si>
    <t>09.2022</t>
  </si>
  <si>
    <t>272</t>
  </si>
  <si>
    <t>Администрация города</t>
  </si>
  <si>
    <t>223860202024986020100100030007120244</t>
  </si>
  <si>
    <t>Услуги по проведению специальной оценки условий труда рабочих мест работников структурных подразделений Администрации города</t>
  </si>
  <si>
    <t>223860202024986020100100050005811244</t>
  </si>
  <si>
    <t>Изготовление и поставка полиграфической продукции</t>
  </si>
  <si>
    <t>223860202024986020100101200005911244</t>
  </si>
  <si>
    <t>Изготовление и прокат видеороликов социальной рекламы на светодиодных экранах</t>
  </si>
  <si>
    <t>223860202024986020100101210008230244</t>
  </si>
  <si>
    <t>Оказание услуг по организации конференций и торговых выставок</t>
  </si>
  <si>
    <t>запрос котировок</t>
  </si>
  <si>
    <t>январь 2022</t>
  </si>
  <si>
    <t>223860202024986020100101220002599244</t>
  </si>
  <si>
    <t>Изготовление и поставка предупреждающих знаков</t>
  </si>
  <si>
    <t>223860202024986020100101230002229244</t>
  </si>
  <si>
    <t>Изготовление и поставка стендов, табличек</t>
  </si>
  <si>
    <t>223860202024986020100101240005911244</t>
  </si>
  <si>
    <t>Изготовление и прокат видеороликов социальной рекламы на каналах телевизионного вещания города Сургута</t>
  </si>
  <si>
    <t>223860202024986020100101250001812244</t>
  </si>
  <si>
    <t>Изготовление и поставка брендированной продукции в рамках проекта "Сделано в Сургуте"</t>
  </si>
  <si>
    <t>223860202024986020100101260008230244</t>
  </si>
  <si>
    <t>Услуги по организации конференций и торговых выставок</t>
  </si>
  <si>
    <t>223860202024986020100101270005811244</t>
  </si>
  <si>
    <t>Изготовление и поставка печатной продукции</t>
  </si>
  <si>
    <t>223860202024986020100101280005610244</t>
  </si>
  <si>
    <t>Услуги по организации питания при проведении официальных мероприятий, организации приемов и обслуживании делегаций</t>
  </si>
  <si>
    <t>223860202024986020100101290005819244</t>
  </si>
  <si>
    <t>Изготовление и поставка полиграфической (подарочной) продукции</t>
  </si>
  <si>
    <t>223860202024986020100101300001512244</t>
  </si>
  <si>
    <t>Изготовление и поставка протокольной атрибутики: наградные папки</t>
  </si>
  <si>
    <t>223860202024986020100101310002229244</t>
  </si>
  <si>
    <t>Изготовление и поставка протокольной атрибутики: багетные рамки</t>
  </si>
  <si>
    <t>223860202024986020100101320004649244</t>
  </si>
  <si>
    <t>Изготовление и поставка сувенирной продукции</t>
  </si>
  <si>
    <t>ноябрь 2022</t>
  </si>
  <si>
    <t>223860202024986020100101330001721244</t>
  </si>
  <si>
    <t>Изготовление и поставка сувенирной продукции: пакеты</t>
  </si>
  <si>
    <t>223860202024986020100101340002599244</t>
  </si>
  <si>
    <t>Изготовление и поставка сувенирной продукции: сувениры из металла</t>
  </si>
  <si>
    <t>223860202024986020100101350003213244</t>
  </si>
  <si>
    <t>Изготовление и поставка протокольной атрибутики: награды</t>
  </si>
  <si>
    <t>223860202024986020100101360005811244</t>
  </si>
  <si>
    <t>изготовление и поставка полиграфической продукции (туристско-информационное издание)</t>
  </si>
  <si>
    <t>223860202024986020100101370008541244</t>
  </si>
  <si>
    <t>Оказание услуг по организации и проведению курса для предпринимателей, планирующих привлечение инвестиций и масштабирование бизнеса</t>
  </si>
  <si>
    <t>223860202024986020100101380006020244</t>
  </si>
  <si>
    <t>Оказание услуг по производству и трансляции видеороликов социальной рекламы</t>
  </si>
  <si>
    <t>223860202024986020100101390006010244</t>
  </si>
  <si>
    <t>Оказание услуг по производству и трансляции аудиороликов социальной рекламы</t>
  </si>
  <si>
    <t>223860202024986020100101400005920244</t>
  </si>
  <si>
    <t>Оказание услуг по информационному обслуживанию органов местного самоуправления в электронных средствах массовой информации (радио)</t>
  </si>
  <si>
    <t>август 2022</t>
  </si>
  <si>
    <t>223860202024986020100101410006311244</t>
  </si>
  <si>
    <t>Оказание услуг по информационному обслуживанию органов местного самоуправления в средствах массовой информации (интернет-порталы)</t>
  </si>
  <si>
    <t>223860202024986020100101420005813244</t>
  </si>
  <si>
    <t>Оказание услуг по информационному обслуживанию органов местного самоуправления в печатном издании в 2022 году</t>
  </si>
  <si>
    <t>223860202024986020100101430005911244</t>
  </si>
  <si>
    <t>Оказание услуг по информационному обслуживанию органов местного самоуправления в электронных средствах массовой информации (телевидение)</t>
  </si>
  <si>
    <t>открытый конкурс</t>
  </si>
  <si>
    <t>223860202024986020100101440005911244</t>
  </si>
  <si>
    <t>Оказание услуг по производству и трансляции видеороликов социальной рекламы, направленных на формирование положительного образа мигранта, в 2022 году</t>
  </si>
  <si>
    <t>223860202024986020100101450005911244</t>
  </si>
  <si>
    <t>223860202024986020100101460005911244</t>
  </si>
  <si>
    <t>223860202024986020100101470005813244</t>
  </si>
  <si>
    <t>Оказание услуг по информационному обслуживанию органов местного самоуправления в печатном средстве массовой информации</t>
  </si>
  <si>
    <t>223860202024986020100101480006399244</t>
  </si>
  <si>
    <t>Оказание услуг сторонних организаций по информационному обслуживанию органов местного самоуправления</t>
  </si>
  <si>
    <t>223860202024986020100101490009319244</t>
  </si>
  <si>
    <t>Оказание услуг по проведению медиафорума</t>
  </si>
  <si>
    <t>декабрь 2022</t>
  </si>
  <si>
    <t>июнь  2022</t>
  </si>
  <si>
    <t>Итого предусмотрено на осуществление закупок в текущем году по Администрации города</t>
  </si>
  <si>
    <t>233860202024986020100100540007120244</t>
  </si>
  <si>
    <t>233860202024986020100100550005811244</t>
  </si>
  <si>
    <t>июнь 2023</t>
  </si>
  <si>
    <t>233860202024986020100100560005911244</t>
  </si>
  <si>
    <t>233860202024986020100100570005911244</t>
  </si>
  <si>
    <t>сенгтябрь 2023</t>
  </si>
  <si>
    <t>233860202024986020100100580005811244</t>
  </si>
  <si>
    <t>233860202024986020100100600003299244</t>
  </si>
  <si>
    <t>Поставка тренажера для учебных целей</t>
  </si>
  <si>
    <t>233860202024986020100100610002599244</t>
  </si>
  <si>
    <t>233860202024986020100100630006512244</t>
  </si>
  <si>
    <t>Добровольное страхование от несчастных случаев и болезней</t>
  </si>
  <si>
    <t>январь 2023</t>
  </si>
  <si>
    <t>233860202024986020100100640005610244</t>
  </si>
  <si>
    <t>233860202024986020100100650005819244</t>
  </si>
  <si>
    <t>сентябрь 2023</t>
  </si>
  <si>
    <t>233860202024986020100100660001512244</t>
  </si>
  <si>
    <t>233860202024986020100100670002229244</t>
  </si>
  <si>
    <t>233860202024986020100100680004649244</t>
  </si>
  <si>
    <t>ноябрь 2023</t>
  </si>
  <si>
    <t>233860202024986020100100690001721244</t>
  </si>
  <si>
    <t>233860202024986020100100700002599244</t>
  </si>
  <si>
    <t>233860202024986020100100710003213244</t>
  </si>
  <si>
    <t>233860202024986020100100720005811244</t>
  </si>
  <si>
    <t>233860202024986020100100740006020244</t>
  </si>
  <si>
    <t>233860202024986020100100750008541244</t>
  </si>
  <si>
    <t>233860202024986020100100760006010244</t>
  </si>
  <si>
    <t>233860202024986020100100770005920244</t>
  </si>
  <si>
    <t>август 2023</t>
  </si>
  <si>
    <t>233860202024986020100100780006311244</t>
  </si>
  <si>
    <t>233860202024986020100100790005813244</t>
  </si>
  <si>
    <t>Оказание услуг по информационному обслуживанию органов местного самоуправления в печатном издании в 2023 году</t>
  </si>
  <si>
    <t xml:space="preserve"> март 2023</t>
  </si>
  <si>
    <t>233860202024986020100100800005911244</t>
  </si>
  <si>
    <t>233860202024986020100100810005911244</t>
  </si>
  <si>
    <t>Оказание услуг по производству и трансляции видеороликов социальной рекламы, направленных на формирование положительного образа мигранта, в 2023 году</t>
  </si>
  <si>
    <t>233860202024986020100100820006399244</t>
  </si>
  <si>
    <t>233860202024986020100100830009319244</t>
  </si>
  <si>
    <t>декабрь 2023</t>
  </si>
  <si>
    <t>233860202024986020100100840005813244</t>
  </si>
  <si>
    <t>Оказание услуг по информационному обслуживанию органов местного самоуправления в печатных средствах массовой информации</t>
  </si>
  <si>
    <t>июнь  2023</t>
  </si>
  <si>
    <t>Итого предусмотрено на осуществление закупок на первый год планового периода по Администрации города</t>
  </si>
  <si>
    <t>243860202024986020100100010005911244</t>
  </si>
  <si>
    <t>243860202024986020100100020005811244</t>
  </si>
  <si>
    <t>июнь 2024</t>
  </si>
  <si>
    <t>243860202024986020100100030007120244</t>
  </si>
  <si>
    <t>243860202024986020100100050005911244</t>
  </si>
  <si>
    <t>сентябрь 2024</t>
  </si>
  <si>
    <t>243860202024986020100100060005811244</t>
  </si>
  <si>
    <t>243860202024986020100100070002599244</t>
  </si>
  <si>
    <t>243860202024986020100100100006512244</t>
  </si>
  <si>
    <t>январь 2024</t>
  </si>
  <si>
    <t>243860202024986020100100110005610244</t>
  </si>
  <si>
    <t>243860202024986020100100130005819244</t>
  </si>
  <si>
    <t>243860202024986020100100140001512244</t>
  </si>
  <si>
    <t>243860202024986020100100150002229244</t>
  </si>
  <si>
    <t>243860202024986020100100160004649244</t>
  </si>
  <si>
    <t>ноябрь 2024</t>
  </si>
  <si>
    <t>243860202024986020100100170001721244</t>
  </si>
  <si>
    <t>243860202024986020100100180002599244</t>
  </si>
  <si>
    <t>243860202024986020100100190003213244</t>
  </si>
  <si>
    <t>243860202024986020100100200006020244</t>
  </si>
  <si>
    <t>243860202024986020100100210008541244</t>
  </si>
  <si>
    <t>243860202024986020100100220005811244</t>
  </si>
  <si>
    <t>243860202024986020100100230006010244</t>
  </si>
  <si>
    <t>243860202024986020100100240005920244</t>
  </si>
  <si>
    <t>август 2024</t>
  </si>
  <si>
    <t>243860202024986020100100250006311244</t>
  </si>
  <si>
    <t>октябрь 2024</t>
  </si>
  <si>
    <t>243860202024986020100100260005813244</t>
  </si>
  <si>
    <t>Оказание услуг по информационному обслуживанию органов местного самоуправления в печатном издании в 2024 году</t>
  </si>
  <si>
    <t>243860202024986020100100270005911244</t>
  </si>
  <si>
    <t>243860202024986020100100280005911244</t>
  </si>
  <si>
    <t>Оказание услуг по производству и трансляции видеороликов социальной рекламы, направленных на формирование положительного образа мигранта, в 2024 году</t>
  </si>
  <si>
    <t>243860202024986020100100290006399244</t>
  </si>
  <si>
    <t>243860202024986020100100300009319244</t>
  </si>
  <si>
    <t>декабрь 2024</t>
  </si>
  <si>
    <t>июнь  2024</t>
  </si>
  <si>
    <t>243860202024986020100100310005813244</t>
  </si>
  <si>
    <t>Итого предусмотрено на осуществление закупок на второй  год планового периода по Администрации города</t>
  </si>
  <si>
    <t>МБУ ИКЦ "Старый Сургут"</t>
  </si>
  <si>
    <t xml:space="preserve">223860200331786020100100360008129244
</t>
  </si>
  <si>
    <t>Оказание услуг по зимнему содержанию территории МБУ ИКЦ "Старый Сургут"</t>
  </si>
  <si>
    <t>223860200331786020100100290009329244</t>
  </si>
  <si>
    <t>Оказание услуг по организации фестиваля ледовых скульптур</t>
  </si>
  <si>
    <t>Итого предусмотрено на осуществление закупок в текущем году по МБУ ИКЦ "Старый Сургут"</t>
  </si>
  <si>
    <t xml:space="preserve">233860200331786020100100120009499244
</t>
  </si>
  <si>
    <t>Организация участия приглашенных коллективов</t>
  </si>
  <si>
    <t>223860200331786020100100310008129244</t>
  </si>
  <si>
    <t>223860200331786020100100300008121244</t>
  </si>
  <si>
    <t>Оказание услуг по уборке помещений</t>
  </si>
  <si>
    <t>223860200331786020100100280004932244</t>
  </si>
  <si>
    <t>Оказание услуг по перевозке пассажиров и багажа легковым такси</t>
  </si>
  <si>
    <t>233860200331786020100100110009329244</t>
  </si>
  <si>
    <t>223860200331786020100100320008010244</t>
  </si>
  <si>
    <t>Итого предусмотрено на осуществление закупок на первый год планового периода по МБУ ИКЦ "Старый Сургут"</t>
  </si>
  <si>
    <t>233860200331786020100100100004932244</t>
  </si>
  <si>
    <t>243860200331786020100100040009329244</t>
  </si>
  <si>
    <t>233860200331786020100100130008121244</t>
  </si>
  <si>
    <t>233860200331786020100100140008129244</t>
  </si>
  <si>
    <t>233860200331786020100100150008010244</t>
  </si>
  <si>
    <t>Итого предусмотрено на осуществление закупок на второй  год планового периода по МБУ ИКЦ "Старый Сургут"</t>
  </si>
  <si>
    <t>МБУ СП СШОР № 1</t>
  </si>
  <si>
    <t>213860200230686020100100310018121244</t>
  </si>
  <si>
    <t>213860200230686020100100340018010244</t>
  </si>
  <si>
    <t>213860200230686020100100400010000244</t>
  </si>
  <si>
    <t>Оказанием услуг по зимнему содержанию территории и крыш</t>
  </si>
  <si>
    <t>213860200230686020100100360018621244</t>
  </si>
  <si>
    <t>Оказание услуг по проведению медицинского осмотра по УМО</t>
  </si>
  <si>
    <t xml:space="preserve">Оказание услуг по проведению периодических медицинских осмотров работников </t>
  </si>
  <si>
    <t>Итого предусмотрено на осуществление закупок в текущем году по МБУ СП СШОР № 1</t>
  </si>
  <si>
    <t xml:space="preserve">Оказание услуг по проведению периодических медицинских осмотров работников 
</t>
  </si>
  <si>
    <t>Итого предусмотрено на осуществление закупок на первый год планового периода по МБУ СП СШОР № 1</t>
  </si>
  <si>
    <t>Итого предусмотрено на осуществление закупок на второй  год планового периода по МБУ СП СШОР № 1</t>
  </si>
  <si>
    <t xml:space="preserve">МБУК ЦБС </t>
  </si>
  <si>
    <t>223860200260286020100100310005811244</t>
  </si>
  <si>
    <t>Поставка печатных изданий для комплектования книжных фондов</t>
  </si>
  <si>
    <t>223860200260286020100100260005811244</t>
  </si>
  <si>
    <t>223860200260286020100100270005811244</t>
  </si>
  <si>
    <t>223860200260286020100100280005811244</t>
  </si>
  <si>
    <t>223860200260286020100100330005811244</t>
  </si>
  <si>
    <t>223860200260286020100100320005811244</t>
  </si>
  <si>
    <t>223860200260286020100100300005811244</t>
  </si>
  <si>
    <t>213860200260286020100100440018010244</t>
  </si>
  <si>
    <t>213860200260286020100100450018121244</t>
  </si>
  <si>
    <t xml:space="preserve">Оказание услуг по уборке помещений </t>
  </si>
  <si>
    <t>213860200260286020100100460018010244</t>
  </si>
  <si>
    <t>Оказание охранных услуг (ПЦН)</t>
  </si>
  <si>
    <t xml:space="preserve">Итого предусмотрено на осуществление закупок в текущем году по МБУК ЦБС </t>
  </si>
  <si>
    <t>223860200260286020100100360008121244</t>
  </si>
  <si>
    <t>223860200260286020100100350008010244</t>
  </si>
  <si>
    <t>Итого предусмотрено на осуществление закупок на первый год планового периода  по МБУК ЦБС</t>
  </si>
  <si>
    <t>МКУ "Ритуал"</t>
  </si>
  <si>
    <t xml:space="preserve">223860228535886020100100010009603244
</t>
  </si>
  <si>
    <t>Оказание услуг по перевозке гроба с телом умершего от патологоанатомического отделения (морга) до места погребения в рамках гарантированного перечня услуг по погребению</t>
  </si>
  <si>
    <t xml:space="preserve">                   -   </t>
  </si>
  <si>
    <t>223860228535886020100100020004932244</t>
  </si>
  <si>
    <t>Оказание автотранспортных услуг на 2023 год (легковой автотранспорт)</t>
  </si>
  <si>
    <t>223860228535886020100100030003600244</t>
  </si>
  <si>
    <t>Оказание услуг по подвозу воды на Крематорий.</t>
  </si>
  <si>
    <t xml:space="preserve">
223860228535886020100100040003700244</t>
  </si>
  <si>
    <t>Оказание услуг по откачке и вывозу сточных вод</t>
  </si>
  <si>
    <t>223860228535886020100100060003312244</t>
  </si>
  <si>
    <t>Оказание услуг по техническому обслуживанию и ремонту кремационной линии чешского производства TABO CS</t>
  </si>
  <si>
    <t>май 2022, ноябрь 2022</t>
  </si>
  <si>
    <t>223860228535886020100100070003312244</t>
  </si>
  <si>
    <t>Оказание услуг по техническому обслуживанию и текущему ремонту автоматизированной системы тепловой энергоустановки.</t>
  </si>
  <si>
    <t>223860228535886020100100080004322244</t>
  </si>
  <si>
    <t>Оказание услуг по промывке и опрессовке системы отопления здания Крематория</t>
  </si>
  <si>
    <t xml:space="preserve">
223860228535886020100100090008121244</t>
  </si>
  <si>
    <t>Оказание услуг по зимней механизированной уборке территории</t>
  </si>
  <si>
    <t xml:space="preserve">
223860228535886020100100100008121244</t>
  </si>
  <si>
    <t>Оказание услуг по уборке помещений в 2023 году</t>
  </si>
  <si>
    <t>223860228535886020100100110008129244</t>
  </si>
  <si>
    <t>Услуги по уборке прилегающей территории (дворник)</t>
  </si>
  <si>
    <t>223860228535886020100100130008010244</t>
  </si>
  <si>
    <t xml:space="preserve">
223860228535886020100100140009603244</t>
  </si>
  <si>
    <t>Оказание услуг по копке могил и погребению умерших</t>
  </si>
  <si>
    <t xml:space="preserve">
223860228535886020100100150001920244</t>
  </si>
  <si>
    <t>Поставка дизельного топлива (товар необходимый для нормального жизнеобеспечения)</t>
  </si>
  <si>
    <t>июнь 2022, ноябрь 2022</t>
  </si>
  <si>
    <t xml:space="preserve">
223860228535886020100100200008129244</t>
  </si>
  <si>
    <t>Оказание услуг по содержанию территории закрытых кладбищ муниципального образования городской округ Сургут Ханты-Мансийского автономного округа - Югры</t>
  </si>
  <si>
    <t xml:space="preserve">
223860228535886020100100210008621244</t>
  </si>
  <si>
    <t>223860228535886020100100220000000244</t>
  </si>
  <si>
    <t>Поставка спецодежды</t>
  </si>
  <si>
    <t xml:space="preserve">
223860228535886020100100230008010244
</t>
  </si>
  <si>
    <t>223860228535886020100100240008129244</t>
  </si>
  <si>
    <t>Оказание услуг по содержанию проездов и водоотводного канала на территории действующего кладбища «Чернореченское-2» муниципального образования городской округ Сургут Ханты-Мансийского автономного округа – Югры.</t>
  </si>
  <si>
    <t>Итого предусмотрено на осуществление закупок в текущем году по МКУ "Ритуал"</t>
  </si>
  <si>
    <t>233860228535886020100100010009603244</t>
  </si>
  <si>
    <t>233860228535886020100100020004932244</t>
  </si>
  <si>
    <t>Оказание автотранспортных услуг (легковой автомобиль) в 2024 году</t>
  </si>
  <si>
    <t>233860228535886020100100030003600244</t>
  </si>
  <si>
    <t>Оказание услуг по подвозу воды на Крематорий</t>
  </si>
  <si>
    <t xml:space="preserve">
233860228535886020100100040003700244</t>
  </si>
  <si>
    <t>233860228535886020100100060003312244</t>
  </si>
  <si>
    <t>233860228535886020100100070003312244</t>
  </si>
  <si>
    <t>233860228535886020100100080004322244</t>
  </si>
  <si>
    <t>233860228535886020100100090008121244</t>
  </si>
  <si>
    <t xml:space="preserve">
233860228535886020100100100008121244</t>
  </si>
  <si>
    <t>233860228535886020100100110008129244</t>
  </si>
  <si>
    <t>233860228535886020100100130008010244</t>
  </si>
  <si>
    <t>233860228535886020100100140009603244</t>
  </si>
  <si>
    <t>233860228535886020100100150001920244</t>
  </si>
  <si>
    <t>июнь 2023, ноябрь 2023</t>
  </si>
  <si>
    <t>233860228535886020100100160002823244</t>
  </si>
  <si>
    <t>Поставка оригинальных расходных материалов для принтеров и многофункциональных устройств</t>
  </si>
  <si>
    <t>233860228535886020100100170001712244</t>
  </si>
  <si>
    <t xml:space="preserve">233860228535886020100100200008129244
</t>
  </si>
  <si>
    <t>233860228535886020100100210008621244</t>
  </si>
  <si>
    <t>Оказание услуг по проведению периодического медицинского осмотра сотрудников</t>
  </si>
  <si>
    <t>233860228535886020100100220000000244</t>
  </si>
  <si>
    <t xml:space="preserve">
233860228535886020100100230008010244</t>
  </si>
  <si>
    <t>Итого предусмотрено на осуществление закупок на первый год планового периода по МКУ "Ритуал"</t>
  </si>
  <si>
    <t xml:space="preserve">243860228535886020100100010004322244
</t>
  </si>
  <si>
    <t>243860228535886020100100060000000244</t>
  </si>
  <si>
    <t>243860228535886020100100050008621244</t>
  </si>
  <si>
    <t>243860228535886020100100040001712244</t>
  </si>
  <si>
    <t>243860228535886020100100030002823244</t>
  </si>
  <si>
    <t>243860228535886020100100020001920244</t>
  </si>
  <si>
    <t>Итого предусмотрено на осуществление закупок на второй год планового периода по МКУ "Ритуал"</t>
  </si>
  <si>
    <t>223860200328286020100101160008129244</t>
  </si>
  <si>
    <t>Выполнение работ по зимнему содержанию кортов (вывоз снега) на зимний период 2022-2023 годы</t>
  </si>
  <si>
    <t>22 38602003282860201001 0117 000 8129 244</t>
  </si>
  <si>
    <t>Выполнение работ по зимнему содержанию кортов в зимний период 2022- 2023 годы</t>
  </si>
  <si>
    <t xml:space="preserve">
22 38602003282860201001 0122 000 8010 244</t>
  </si>
  <si>
    <t>22 38602003282860201001 0123 000 8010 244</t>
  </si>
  <si>
    <t>22 38602003282860201001 0121 000 8621 244</t>
  </si>
  <si>
    <t>22 38602003282860201001 0124 000 8621 244</t>
  </si>
  <si>
    <t>Оказание услуг по проведению предварительных медицинских осмотров работников в 2023 году</t>
  </si>
  <si>
    <t>22 38602003282860201001 0125 000 4520 244</t>
  </si>
  <si>
    <t>Оказание услуг по техническому обслуживанию и ремонту автотранспортных средств с использованием запасных частей, смазочных материалов и специальных жидкостей</t>
  </si>
  <si>
    <t xml:space="preserve">
22 38602003282860201001 0126 000 8020 244</t>
  </si>
  <si>
    <t>Оказание услуг по техническому обслуживанию охранно-пожарной сигнализации на объектах МБУ ЦФП «Надежда» в 2023 году</t>
  </si>
  <si>
    <t xml:space="preserve">
22 38602003282860201001 0127 000 3313 244</t>
  </si>
  <si>
    <t>Оказание услуг по техническому обслуживанию системы видеонаблюдения на объектах МБУ ЦФП "Надежда" в 2023 году</t>
  </si>
  <si>
    <t xml:space="preserve">
22 38602003282860201001 0128 000 8121 244</t>
  </si>
  <si>
    <t>22 38602003282860201001 0119 000 1712 244</t>
  </si>
  <si>
    <t xml:space="preserve">
22 38602003282860201001 0129 000 2030 244</t>
  </si>
  <si>
    <t>Поставка материалов лакокрасочных на основе полимеров</t>
  </si>
  <si>
    <t>22 38602003282860201001 0132 000 2823 244</t>
  </si>
  <si>
    <t>Поставка оригинальных расходных материалов для техники</t>
  </si>
  <si>
    <t>22 38602003282860201001 0142 000 2511 244</t>
  </si>
  <si>
    <t>Поставка подиумной конструкции</t>
  </si>
  <si>
    <t>Итого предусмотрено на осуществление закупок в текущем году по МБУ ЦФП "Надежда"</t>
  </si>
  <si>
    <t>МБУ ЦФП "Надежда"</t>
  </si>
  <si>
    <t xml:space="preserve">23 38602003282860201001 0003 000 8129 244
</t>
  </si>
  <si>
    <t>Выполнение работ по зимнему содержанию кортов (вывоз снега) на зимний период 2023-2024 годы</t>
  </si>
  <si>
    <t>23 38602003282860201001 0004 000 8129 244</t>
  </si>
  <si>
    <t>Выполнение работ по зимнему содержанию кортов в зимний период 2023 2024 годы</t>
  </si>
  <si>
    <t>23 38602003282860201001 0006 000 8621 244</t>
  </si>
  <si>
    <t>Оказание услуг по проведению периодических медицинских осмотров работников в 2024 году</t>
  </si>
  <si>
    <t xml:space="preserve">
23 38602003282860201001 0009 000 8621 244</t>
  </si>
  <si>
    <t>Оказание услуг по проведению предварительных медицинских осмотров работников в 2024 году</t>
  </si>
  <si>
    <t>23 38602003282860201001 0010 000 4520 244</t>
  </si>
  <si>
    <t>23 38602003282860201001 0011 000 8020 244</t>
  </si>
  <si>
    <t>Оказание услуг по техническому обслуживанию охранно-пожарной сигнализации на объектах МБУ ЦФП «Надежда» в 2024 году</t>
  </si>
  <si>
    <t>23 38602003282860201001 0012 000 3313 244</t>
  </si>
  <si>
    <t>Оказание услуг по техническому обслуживанию системы видеонаблюдения на объектах МБУ ЦФП "Надежда" в 2024 году</t>
  </si>
  <si>
    <t>23 38602003282860201001 0013 000 8121 244</t>
  </si>
  <si>
    <t>Оказание услуг по уборке помещений в 2024 году</t>
  </si>
  <si>
    <t>Итого предусмотрено на осуществление закупок на первый год планового периода по МБУ ЦФП "Надежда"</t>
  </si>
  <si>
    <t xml:space="preserve">23 38602003282860201001 0007 000 8010 244
</t>
  </si>
  <si>
    <t>Электронный аукцион </t>
  </si>
  <si>
    <t>23 38602003282860201001 0008 000 8010 244</t>
  </si>
  <si>
    <t>Итого предусмотрено на осуществление закупок на второй год планового периода по МБУ ЦФП "Надежда"</t>
  </si>
  <si>
    <t>МБУ ДО "ДШИ №3"</t>
  </si>
  <si>
    <t>223860200316286020100100240018010244</t>
  </si>
  <si>
    <t>Невооруженная охрана в 2023 году</t>
  </si>
  <si>
    <t xml:space="preserve">
223860200316286020100100230028621244</t>
  </si>
  <si>
    <t>Периодический медицинский осмотр сотрудников в 2023 году</t>
  </si>
  <si>
    <t>223860200239186020100100120008121244</t>
  </si>
  <si>
    <t>Уборка помещений в 2023 году</t>
  </si>
  <si>
    <t>Итого предусмотрено на осуществление закупок на первый год планового периода по МБУ ДО "ДШИ №3"</t>
  </si>
  <si>
    <t>233860200239186020100100040008010244</t>
  </si>
  <si>
    <t>Невооруженная охрана в 2024 году</t>
  </si>
  <si>
    <t>233860200316286020100100230028621244</t>
  </si>
  <si>
    <t>Периодический медицинский осмотр сотрудников в 2024 году</t>
  </si>
  <si>
    <t>233860200239186020100100050008121244</t>
  </si>
  <si>
    <t>Уборка помещений в 2024 году</t>
  </si>
  <si>
    <t>Итого предусмотрено на осуществление закупок на второй год планового периода по МБУ ДО "ДШИ №3"</t>
  </si>
  <si>
    <t>МБУ ДО "ДШИ №1"</t>
  </si>
  <si>
    <t>223860200261086020100100360008010244</t>
  </si>
  <si>
    <t>Оказание охранных услуг в 2022 году</t>
  </si>
  <si>
    <t>Итого предусмотрено на осуществление закупок в текущем году по МБУ ДО "ДШИ №1"</t>
  </si>
  <si>
    <t>МКУ "ЛПХ"</t>
  </si>
  <si>
    <t>22 38602003331860201001 0059 000 2222 244</t>
  </si>
  <si>
    <t>Поставка мешков для мусора</t>
  </si>
  <si>
    <t>эл.аукцион</t>
  </si>
  <si>
    <t>22 38602003331860201001 0004 000 1712 244</t>
  </si>
  <si>
    <t>22 38602003331860201001 0062 000 8110 244</t>
  </si>
  <si>
    <t>Оказание услуг по обслуживанию павильонов "Туалет" на территории Главной площади города Сургута</t>
  </si>
  <si>
    <t>22 38602003331860201001 0058 000 2824 244</t>
  </si>
  <si>
    <t>Поставка электроинструмента и оборудования</t>
  </si>
  <si>
    <t>22 38602003331860201001 0001 000 8129 244</t>
  </si>
  <si>
    <t>Оказание услуг по обеспечению мест отдыха у воды туалетными кабинами и их текущему содержанию в 2022 году</t>
  </si>
  <si>
    <t>22 38602003331860201001 0061 000 0240 244</t>
  </si>
  <si>
    <t>Выполнение работ по санитарным рубкам и рубкам по очистке леса от захламленности</t>
  </si>
  <si>
    <t>22 38602003331860201001 0006 000 2222 244</t>
  </si>
  <si>
    <t>22 38602003331860201001 0060 000 2314 244</t>
  </si>
  <si>
    <t>Изготовление малых архитектурных форм - цветочниц для цветочного оформления территории общего пользования города Сургута</t>
  </si>
  <si>
    <t>21 38602003331860201001 0018 000 4520 244</t>
  </si>
  <si>
    <t>Оказание услуг по техническому обслуживанию и ремонту автотранспортных средств для обеспечения муниципальных нужд</t>
  </si>
  <si>
    <t>21 38602003331860201001 0077 000 2222 244</t>
  </si>
  <si>
    <t>21 38602003331860201001 0082 000 4520 244</t>
  </si>
  <si>
    <t>Оказание услуг по техническому обслуживанию и ремонту грузовых  автотранспортных средств, тракторов и автобусов</t>
  </si>
  <si>
    <t>21 38602003331860201001 0084 000 1412 244</t>
  </si>
  <si>
    <t>21 38602003331860201001 0083 000 0000 244</t>
  </si>
  <si>
    <t>21 38602003331860201001 0080 000 3312 244</t>
  </si>
  <si>
    <t>Оказание услуг по техническому обслуживанию внутренних и наружных инженерных сетей и узлов коммерческого учета</t>
  </si>
  <si>
    <t>21 38602003331860201001 0081 000 4520 244</t>
  </si>
  <si>
    <t>21 38602003331860201001 0022 000 8621 244</t>
  </si>
  <si>
    <t>Оказание услуг по проведению предварительных  медицинских осмотров работников в 2022 году</t>
  </si>
  <si>
    <t>21 38602003331860201001 0089 000 8621 244</t>
  </si>
  <si>
    <t>22 38602003331860201001 0019 000 8010 244</t>
  </si>
  <si>
    <t>22 38602003331860201001 0014 000 4520 244</t>
  </si>
  <si>
    <t>22 38602003331860201001 0031 000 0000 244</t>
  </si>
  <si>
    <t>Поставка смывающих и обезвреживающих  средств</t>
  </si>
  <si>
    <t>22 38602003331860201001 0024 000 2030 244</t>
  </si>
  <si>
    <t>Поставка лакокрасочных материалов</t>
  </si>
  <si>
    <t>22 38602003331860201001 0016 000 3312 244</t>
  </si>
  <si>
    <t>22 38602003331860201001 0026 000 2222 244</t>
  </si>
  <si>
    <t>22 38602003331860201001 0030 000 1414 244</t>
  </si>
  <si>
    <t>Поставка СПЕЦОДЕЖДЫ</t>
  </si>
  <si>
    <t>22 38602003331860201001 0029 000 8621 244</t>
  </si>
  <si>
    <t>22 38602003331860201001 0013 000 4520 244</t>
  </si>
  <si>
    <t>22 38602003331860201001 0015 000 0000 244</t>
  </si>
  <si>
    <t>Оказание услуг по  техническому обслуживанию и заправке сжиженным  газом групповой резервуарной  установки  №1 «Вечный огонь" на "Мемориале Славы" в г. Сургуте в 2023 году</t>
  </si>
  <si>
    <t>22 38602003331860201001 0032 000 8129 244</t>
  </si>
  <si>
    <t>Оказание услуг по дератизации, акарицидной (трехкратной), лорвицидной  обработке территорий г. Сургута ХМАО-Югры</t>
  </si>
  <si>
    <t>22 38602003331860201001 0010 000 8129 244</t>
  </si>
  <si>
    <t>Оказание услуг по  зимнему содержание пешеходных дорожек, площадок на территориях общего пользования в городе Сургуте</t>
  </si>
  <si>
    <t>22 38602003331860201001 0017 000 8130 244</t>
  </si>
  <si>
    <t>Выполнение работ по созданию и содержанию цветников на территориях общего пользования г. Сургута</t>
  </si>
  <si>
    <t>Итого предусмотрено на осуществление закупок в текущем году по МКУ "ЛПХ"</t>
  </si>
  <si>
    <t>23 38602003331860201001 0001 000 1712 244</t>
  </si>
  <si>
    <t>23 38602003331860201001 0025 000 2732 244</t>
  </si>
  <si>
    <t>Поставка кабельной продукции</t>
  </si>
  <si>
    <t>23 38602003331860201001 0021 000 2824 244</t>
  </si>
  <si>
    <t>23 38602003331860201001 0020 000 8129 244</t>
  </si>
  <si>
    <t>Оказание услуг по обеспечению мест отдыха у воды туалетными кабинами и их текущему содержанию</t>
  </si>
  <si>
    <t>23 38602003331860201001 0027 000 0240 244</t>
  </si>
  <si>
    <t>Выполнение работ по санитарным рубкам и рубкам по очистке леса от захламлённости</t>
  </si>
  <si>
    <t>23 38602003331860201001 0018 000 8129 244</t>
  </si>
  <si>
    <t>Оказание услуг по обеспечению мест отдыха у воды туалетными кабинами и их текущему содержанию в 2023 году</t>
  </si>
  <si>
    <t>23 38602003331860201001 0014 000 8010 244</t>
  </si>
  <si>
    <t>23 38602003331860201001 0037 000 4520 244</t>
  </si>
  <si>
    <t>23 38602003331860201001 0055 000 0000 244</t>
  </si>
  <si>
    <t>23 38602003331860201001 0048 000 2030 244</t>
  </si>
  <si>
    <t>23 38602003331860201001 0023 000 3312 244</t>
  </si>
  <si>
    <t>23 38602003331860201001 0050 000 2222 244</t>
  </si>
  <si>
    <t>23 38602003331860201001 0053 000 8621 244</t>
  </si>
  <si>
    <t>23 38602003331860201001 0036 000 4520 244</t>
  </si>
  <si>
    <t>23 38602003331860201001 0038 000 0000 244</t>
  </si>
  <si>
    <t>Оказание услуг по  техническому обслуживанию и заправке сжиженным  газом групповой резервуарной  установки  №1 «Вечный огонь" на "Мемориале Славы" в г. Сургуте в 2024 году</t>
  </si>
  <si>
    <t>23 38602003331860201001 0054 000 1414 244</t>
  </si>
  <si>
    <t>23 38602003331860201001 0056 000 8129 244</t>
  </si>
  <si>
    <t>23 38602003331860201001 0041 000 8129 244</t>
  </si>
  <si>
    <t>23 38602003331860201001 0040 000 8130 244</t>
  </si>
  <si>
    <t>Итого предусмотрено на осуществление закупок на первый год планового периода по МКУ "ЛПХ"</t>
  </si>
  <si>
    <t>24 38602003331860201001 0047 000 1712 244</t>
  </si>
  <si>
    <t>24 38602003331860201001 0049 000 2732 244</t>
  </si>
  <si>
    <t>24 38602003331860201001 0045 000 2824 244</t>
  </si>
  <si>
    <t>24 38602003331860201001 0044 000 8129 244</t>
  </si>
  <si>
    <t>Оказание услуг по обеспечению мест отдыха у воды туалетными кабинами и их текущему содержанию в 2024 году</t>
  </si>
  <si>
    <t>24 38602003331860201001 0051 000 0240 244</t>
  </si>
  <si>
    <t>24 38602003331860201001 0042 000 8129 244</t>
  </si>
  <si>
    <t xml:space="preserve">Оказание услуг по обеспечению мест отдыха у воды туалетными кабинами и их текущему содержанию </t>
  </si>
  <si>
    <t>Итого предусмотрено на осуществление закупок на второй год планового периода по МКУ "ЛПХ"</t>
  </si>
  <si>
    <t>МБУК "СКМ"</t>
  </si>
  <si>
    <t>213860201720786020100100340008121244</t>
  </si>
  <si>
    <t>Оказание услуг по уборке помещений в 2022 году</t>
  </si>
  <si>
    <t>213860201720786020100100290004932244</t>
  </si>
  <si>
    <t>Оказание услуг по организации перевозок пассажиров и багажа легковым такси в 2022 году.</t>
  </si>
  <si>
    <t>213860201720786020100100350008010244</t>
  </si>
  <si>
    <t>Оказание охранных услуг в 2022 году (1 полугодие)</t>
  </si>
  <si>
    <t>223860201720786020100100260008010244</t>
  </si>
  <si>
    <t>Оказание охранных услуг в 2022 году (2 полугодие)</t>
  </si>
  <si>
    <t>Итого предусмотрено на осуществление закупок в текущем году по МБУК "СКМ"</t>
  </si>
  <si>
    <t>223860201720786020100100270008010244</t>
  </si>
  <si>
    <t>Оказание охранных услуг в 2023 году</t>
  </si>
  <si>
    <t>223860201720786020100100240004932244</t>
  </si>
  <si>
    <t>Оказание услуг по организации перевозок пассажиров и багажа легковым такси в 2023 году.</t>
  </si>
  <si>
    <t>223860201720786020100100250008121244</t>
  </si>
  <si>
    <t>Итого предусмотрено на осуществление закупок на первый год планового периода по МБУК "СКМ"</t>
  </si>
  <si>
    <t>233860201720786020100100110008010244</t>
  </si>
  <si>
    <t>Оказание охранных услуг в 2024 году</t>
  </si>
  <si>
    <t>233860201720786020100100090004932244</t>
  </si>
  <si>
    <t>Оказание услуг по организации перевозок пассажиров и багажа легковым такси в 2024 году.</t>
  </si>
  <si>
    <t>233860201720786020100100100008121244</t>
  </si>
  <si>
    <t>Итого предусмотрено на осуществление закупок на второй  год планового периода по МБУК "СКМ"</t>
  </si>
  <si>
    <t>МБУ СП СШ "Аверс"</t>
  </si>
  <si>
    <t>233860200239186020100100110008010244</t>
  </si>
  <si>
    <t>оказание охранных услуг  в 2023 году</t>
  </si>
  <si>
    <t>233860200239186020100100120008121244</t>
  </si>
  <si>
    <t>оказание услуг по уборке помещений в 2023 году</t>
  </si>
  <si>
    <t>Итого предусмотрено на осуществление закупок на первый год планового периода по МБУ СП СШ "Аверс"</t>
  </si>
  <si>
    <t>оказание охранных услуг  в период в 2024 году</t>
  </si>
  <si>
    <t>оказание услуг по уборке помещений в 2024 году</t>
  </si>
  <si>
    <t>Итого предусмотрено на осуществление закупок на второй  год планового периода по МБУ СП СШ "Аверс"</t>
  </si>
  <si>
    <t>МКУ "Наш город"</t>
  </si>
  <si>
    <t>223860206183086020100100340007320244</t>
  </si>
  <si>
    <t>Проведение социологического исследования на территории города Сургута в 2022 году</t>
  </si>
  <si>
    <t>223860206183086020100100570005811244</t>
  </si>
  <si>
    <t>Оказание услуг по изготовлению полиграфической продукции в 2022 году</t>
  </si>
  <si>
    <t>223860206183086020100100350002823244</t>
  </si>
  <si>
    <t>Поставка оригинальных расходных материалов для копировально-множительной техники и периферийного оборудования в 2022 году</t>
  </si>
  <si>
    <t>223860206183086020100100560001712244</t>
  </si>
  <si>
    <t>Поставка бумаги для офисной техники в 2022 году</t>
  </si>
  <si>
    <t>223860206183086020100100550003312244</t>
  </si>
  <si>
    <t>Оказание услуг по техническому обслуживанию и перезарядке огнетушителей в 2022 году</t>
  </si>
  <si>
    <t>223860206183086020100100360001811244</t>
  </si>
  <si>
    <t>Оказание услуг по печати газеты "Сургутские ведомости"в 2023 году</t>
  </si>
  <si>
    <t>223860206183086020100100610008121244</t>
  </si>
  <si>
    <t>223860206183086020100100600004932244</t>
  </si>
  <si>
    <t>Оказание автотранспортных услуг в 2023 году (легковой автотранспорт)</t>
  </si>
  <si>
    <t>223860206183086020100100440008010244</t>
  </si>
  <si>
    <t>223860206183086020100100470005320244</t>
  </si>
  <si>
    <t>Оказание услуг по доставке газеты "Сургутские ведомости"в 2023 году</t>
  </si>
  <si>
    <t>223860206183086020100100490008020244</t>
  </si>
  <si>
    <t>Оказание услуг по техническому обслуживанию систем (средств, установок) обеспечения пожарной безопасности зданий и сооружений для обеспечения муниципальных нужд в 2023 году</t>
  </si>
  <si>
    <t>223860206183086020100100500003313244</t>
  </si>
  <si>
    <t>Оказание услуг по техническому обслуживанию системы видеонаблюдения в 2023 году</t>
  </si>
  <si>
    <t>223860206183086020100100510008121244</t>
  </si>
  <si>
    <t>Оказание услуг по уборке прилегающей территории на объекте "Общественный центр в п. Снежный" в 2023 году</t>
  </si>
  <si>
    <t>223860206183086020100100620008121244</t>
  </si>
  <si>
    <t>Оказание услуг по уборке территории от снега (механизированная уборка спецтранспортом) в 2023 году</t>
  </si>
  <si>
    <t>223860206183086020100100580004932244</t>
  </si>
  <si>
    <t>Оказание услуг по организации перевозок пассажиров и багажа легковым такси в 2023 году</t>
  </si>
  <si>
    <t>Итого предусмотрено на осуществление закупок в текущем году по МКУ "Наш город"</t>
  </si>
  <si>
    <t>233860206183086020100100200007320244</t>
  </si>
  <si>
    <t>Проведение социологического исследования на территории города Сургута в 2023 году</t>
  </si>
  <si>
    <t>233860206183086020100100210005811244</t>
  </si>
  <si>
    <t>Оказание услуг по изготовлению полиграфической продукции в 2023 году</t>
  </si>
  <si>
    <t>233860206183086020100100190002823244</t>
  </si>
  <si>
    <t>Поставка оригинальных расходных материалов для копировально-множительной техники и периферийного оборудования в 2023 году</t>
  </si>
  <si>
    <t>233860206183086020100100180001712244</t>
  </si>
  <si>
    <t>Поставка бумаги для офисной техники в 2023 году</t>
  </si>
  <si>
    <t>233860206183086020100100160003312244</t>
  </si>
  <si>
    <t>Оказание услуг по техническому обслуживанию и перезарядке огнетушителей в 2023 году</t>
  </si>
  <si>
    <t>233860206183086020100100300001811244</t>
  </si>
  <si>
    <t>Оказание услуг по печати газеты "Сургутские ведомости"в 2024 году</t>
  </si>
  <si>
    <t>233860206183086020100100260008121244</t>
  </si>
  <si>
    <t>233860206183086020100100220004932244</t>
  </si>
  <si>
    <t>Оказание автотранспортных услуг в 2024 году (легковой автотранспорт)</t>
  </si>
  <si>
    <t>233860206183086020100100290008010244</t>
  </si>
  <si>
    <t>233860206183086020100100310005320244</t>
  </si>
  <si>
    <t>Оказание услуг по доставке газеты "Сургутские ведомости"в 2024 году</t>
  </si>
  <si>
    <t>233860206183086020100100280008020244</t>
  </si>
  <si>
    <t>Оказание услуг по техническому обслуживанию систем (средств, установок) обеспечения пожарной безопасности зданий и сооружений для обеспечения муниципальных нужд в 2024 году</t>
  </si>
  <si>
    <t>233860206183086020100100240003313244</t>
  </si>
  <si>
    <t>Оказание услуг по техническому обслуживанию системы видеонаблюдения в 2024 году</t>
  </si>
  <si>
    <t>233860206183086020100100250008121244</t>
  </si>
  <si>
    <t>Оказание услуг по уборке прилегающей территории на объекте "Общественный центр в п. Снежный" в 2024 году</t>
  </si>
  <si>
    <t>233860206183086020100100270008121244</t>
  </si>
  <si>
    <t>Оказание услуг по уборке территории от снега (механизированная уборка спецтранспортом) в 2024 году</t>
  </si>
  <si>
    <t>233860206183086020100100230004932244</t>
  </si>
  <si>
    <t>Оказание услуг по организации перевозок пассажиров и багажа легковым такси в 2024 году</t>
  </si>
  <si>
    <t>Итого предусмотрено на осуществление закупок на первый год планового периода по МКУ "Наш город"</t>
  </si>
  <si>
    <t>243860206183086020100100050007320244</t>
  </si>
  <si>
    <t>Проведение социологического исследования на территории города Сургута в 2024 году</t>
  </si>
  <si>
    <t>243860206183086020100100060005811244</t>
  </si>
  <si>
    <t>Оказание услуг по изготовлению полиграфической продукции в 2024 году</t>
  </si>
  <si>
    <t>243860206183086020100100040002823244</t>
  </si>
  <si>
    <t>Поставка оригинальных расходных материалов для копировально-множительной техники и периферийного оборудования в 2024 году</t>
  </si>
  <si>
    <t>243860206183086020100100030001712244</t>
  </si>
  <si>
    <t>Поставка бумаги для офисной техники в 2024 году</t>
  </si>
  <si>
    <t>243860206183086020100100010003312244</t>
  </si>
  <si>
    <t>Оказание услуг по техническому обслуживанию и перезарядке огнетушителей в 2024 году</t>
  </si>
  <si>
    <t>Итого предусмотрено на осуществление закупок на второй  год планового периода по МКУ "Наш город"</t>
  </si>
  <si>
    <t>МБУДО «ДХШ №1 им. Л.А. Горды»</t>
  </si>
  <si>
    <t>Оказание охранных услуг в 2022 году.</t>
  </si>
  <si>
    <t>Итого предусмотрено на осуществление закупок в текущем году по МБУДО «ДХШ №1 им. Л.А. Горды»</t>
  </si>
  <si>
    <t>Оказание охранных услуг в 2023 году.</t>
  </si>
  <si>
    <t>Итого предусмотрено на осуществление закупок на первый год планового периода по МБУДО «ДХШ №1 им. Л.А. Горды»</t>
  </si>
  <si>
    <t>Оказание охранных услуг в 2024 году.</t>
  </si>
  <si>
    <t>МБУ "Вариант"</t>
  </si>
  <si>
    <t>223860200291686020100100520003240244</t>
  </si>
  <si>
    <t>Поставка настольных игр</t>
  </si>
  <si>
    <t>223860200291686020100100700002016244</t>
  </si>
  <si>
    <t>Поставка пластика для 3D-принтера</t>
  </si>
  <si>
    <t>223860200291686020100100740001412244</t>
  </si>
  <si>
    <t>Поставка средств индивидуальной защиты</t>
  </si>
  <si>
    <t>223860200291686020100100600002823244</t>
  </si>
  <si>
    <t xml:space="preserve">223860200291686020100100640002041244
</t>
  </si>
  <si>
    <t>Поставка хозяйственных товаров</t>
  </si>
  <si>
    <t>223860200291686020100100780001712244</t>
  </si>
  <si>
    <t>223860200291686020100100790000000244</t>
  </si>
  <si>
    <t>223860200291686020100100800000000244</t>
  </si>
  <si>
    <t>223860200291686020100101030000000244</t>
  </si>
  <si>
    <t>223860200291686020100101070002229244</t>
  </si>
  <si>
    <t xml:space="preserve">Поставка рамок </t>
  </si>
  <si>
    <t>223860200291686020100101120005819244</t>
  </si>
  <si>
    <t>Поставка баннеров с печатью по макетам Заказчика</t>
  </si>
  <si>
    <t>223860200291686020100101080008541244</t>
  </si>
  <si>
    <t>Оказание услуг по организации и проведению семинара</t>
  </si>
  <si>
    <t>223860200291686020100101130003299244</t>
  </si>
  <si>
    <t>Поставка сувенирной продукции с нанесением логотипа по эскизу Заказчика</t>
  </si>
  <si>
    <t>223860200291686020100100690003230244</t>
  </si>
  <si>
    <t xml:space="preserve">Поставка спортивного инвентаря </t>
  </si>
  <si>
    <t>223860200291686020100100680002599244</t>
  </si>
  <si>
    <t>Поставка термосов</t>
  </si>
  <si>
    <t>223860200291686020100100660002640244</t>
  </si>
  <si>
    <t>Поставка, монтаж и ввод в эксплуатацию системы видеонаблюдения</t>
  </si>
  <si>
    <t>223860200291686020100101040001439244</t>
  </si>
  <si>
    <t>Поставка толстовок с нанесением логотипа по эскизу Заказчика</t>
  </si>
  <si>
    <t>223860200291686020100100730000000244</t>
  </si>
  <si>
    <t>Поставка рубашек поло с нанесением логотипа по эскизам Заказчика</t>
  </si>
  <si>
    <t>223860200291686020100100580002030244</t>
  </si>
  <si>
    <t>Поставка красок для рисования</t>
  </si>
  <si>
    <t>223860200291686020100100570003291244</t>
  </si>
  <si>
    <t>Поставка кистей художественных</t>
  </si>
  <si>
    <t>223860200291686020100100750003299244</t>
  </si>
  <si>
    <t>Поставка досок магнитно-маркерных</t>
  </si>
  <si>
    <t>223860200291686020100100590002229244</t>
  </si>
  <si>
    <t>Поставка елочных шаров для росписи</t>
  </si>
  <si>
    <t>223860200291686020100100540002020244</t>
  </si>
  <si>
    <t>Поставка средств дезинфицирующих</t>
  </si>
  <si>
    <t>223860200291686020100100720001629244</t>
  </si>
  <si>
    <t>Поставка заготовки для росписи</t>
  </si>
  <si>
    <t>223860200291686020100100710002221244</t>
  </si>
  <si>
    <t>Поставка пластика ПВХ с нанесением интерьерной печати по эскизам</t>
  </si>
  <si>
    <t>223860200291686020100100530006201244</t>
  </si>
  <si>
    <t>223860200291686020100100820008020244</t>
  </si>
  <si>
    <t>Оказание услуг по техническому обслуживанию систем (средств, установок) обеспечения пожарной безопасности зданий и сооружений для обеспечения муниципальных нужд (ОПС)</t>
  </si>
  <si>
    <t>223860200291686020100100830003313244</t>
  </si>
  <si>
    <t xml:space="preserve">Оказание услуг по техническому обслуживанию систем видеонаблюдения в 2023 году </t>
  </si>
  <si>
    <t>223860200291686020100100870008621244</t>
  </si>
  <si>
    <t>Оказание услуг по проведению предварительного медицинского осмотра лиц, поступающих на работу в МБУ "Вариант" в 2023 году</t>
  </si>
  <si>
    <t>223860200291686020100100850008621244</t>
  </si>
  <si>
    <t xml:space="preserve">Оказание услуг по проведению периодических медицинских осмотров работников в 2023 году </t>
  </si>
  <si>
    <t>223860200291686020100100840008010244</t>
  </si>
  <si>
    <t>223860200291686020100101010008121244</t>
  </si>
  <si>
    <t>Итого предусмотрено на осуществление закупок в текущем году по МБУ "Вариант":</t>
  </si>
  <si>
    <t>233860200291686020100100340000000244</t>
  </si>
  <si>
    <t>233860200291686020100100370002823244</t>
  </si>
  <si>
    <t>233860200291686020100100400003240244</t>
  </si>
  <si>
    <t>Поставка воздушных шаров</t>
  </si>
  <si>
    <t>233860200291686020100100410003240244</t>
  </si>
  <si>
    <t>233860200291686020100100480002016244</t>
  </si>
  <si>
    <t>233860200291686020100100510002221244</t>
  </si>
  <si>
    <t>233860200291686020100100310001712244</t>
  </si>
  <si>
    <t>233860200291686020100100320000000244</t>
  </si>
  <si>
    <t>233860200291686020100100330000000244</t>
  </si>
  <si>
    <t>233860200291686020100100360002222244</t>
  </si>
  <si>
    <t>233860200291686020100100380002041244</t>
  </si>
  <si>
    <t>233860200291686020100100390001722244</t>
  </si>
  <si>
    <t>233860200291686020100100550002599244</t>
  </si>
  <si>
    <t>233860200291686020100100490008230244</t>
  </si>
  <si>
    <t>233860200291686020100100420002599244</t>
  </si>
  <si>
    <t>233860200291686020100100430003230244</t>
  </si>
  <si>
    <t>233860200291686020100100470001439244</t>
  </si>
  <si>
    <t>233860200291686020100100450004649244</t>
  </si>
  <si>
    <t>Изготовление и поставка сувенирной продукции с нанесением логотипа по эскизу Заказчика</t>
  </si>
  <si>
    <t>233860200291686020100100460000000244</t>
  </si>
  <si>
    <t>233860200291686020100100540002229244</t>
  </si>
  <si>
    <t>233860200291686020100100530002030244</t>
  </si>
  <si>
    <t>233860200291686020100100520003291244</t>
  </si>
  <si>
    <t>233860200291686020100100500003299244</t>
  </si>
  <si>
    <t>233860200291686020100100440001629244</t>
  </si>
  <si>
    <t>233860200291686020100100270006201244</t>
  </si>
  <si>
    <t>233860200291686020100100220008020244</t>
  </si>
  <si>
    <t>233860200291686020100100230003313244</t>
  </si>
  <si>
    <t xml:space="preserve">Оказание услуг по техническому обслуживанию систем видеонаблюдения в 2024 году </t>
  </si>
  <si>
    <t>233860200291686020100100300008621244</t>
  </si>
  <si>
    <t>Оказание услуг по проведению предварительного медицинского осмотра лиц, поступающих на работу в МБУ "Вариант" в 2024 году</t>
  </si>
  <si>
    <t>233860200291686020100100290008621244</t>
  </si>
  <si>
    <t xml:space="preserve">Оказание услуг по проведению периодических медицинских осмотров работников в 2024 году </t>
  </si>
  <si>
    <t>233860200291686020100100280008010244</t>
  </si>
  <si>
    <t>233860200291686020100100240008121244</t>
  </si>
  <si>
    <t>Итого предусмотрено на осуществление закупок на первый год планового периода по МБУ "Вариант":</t>
  </si>
  <si>
    <t>243860200291686020100100080001723244</t>
  </si>
  <si>
    <t>243860200291686020100100100002823244</t>
  </si>
  <si>
    <t>243860200291686020100100130003240244</t>
  </si>
  <si>
    <t>243860200291686020100100140003240244</t>
  </si>
  <si>
    <t>243860200291686020100100210000000244</t>
  </si>
  <si>
    <t>Поставка сумок, рюкзакови сенсорных перчаток с нанесением логотипа по эскизу Заказчика</t>
  </si>
  <si>
    <t>243860200291686020100100220002016244</t>
  </si>
  <si>
    <t>243860200291686020100100250002221244</t>
  </si>
  <si>
    <t>243860200291686020100100040001712244</t>
  </si>
  <si>
    <t>243860200291686020100100050000000244</t>
  </si>
  <si>
    <t>243860200291686020100100060000000244</t>
  </si>
  <si>
    <t>243860200291686020100100070000000244</t>
  </si>
  <si>
    <t>243860200291686020100100090002222244</t>
  </si>
  <si>
    <t>243860200291686020100100110002041244</t>
  </si>
  <si>
    <t>243860200291686020100100120001722244</t>
  </si>
  <si>
    <t>243860200291686020100100290002599244</t>
  </si>
  <si>
    <t>243860200291686020100100230008230244</t>
  </si>
  <si>
    <t>243860200291686020100100150002599244</t>
  </si>
  <si>
    <t>243860200291686020100100160003230244</t>
  </si>
  <si>
    <t>243860200291686020100100200001439244</t>
  </si>
  <si>
    <t>243860200291686020100100180004649244</t>
  </si>
  <si>
    <t>243860200291686020100100190000000244</t>
  </si>
  <si>
    <t>243860200291686020100100280002229244</t>
  </si>
  <si>
    <t>243860200291686020100100270002030244</t>
  </si>
  <si>
    <t>243860200291686020100100260003291244</t>
  </si>
  <si>
    <t>243860200291686020100100240003299244</t>
  </si>
  <si>
    <t>243860200291686020100100170001629244</t>
  </si>
  <si>
    <t>243860200291686020100100030006201244</t>
  </si>
  <si>
    <t>Итого предусмотрено на осуществление закупок на второй год планового периода по МБУ "Вариант":</t>
  </si>
  <si>
    <t>МКУ "Дворец торжеств"</t>
  </si>
  <si>
    <t>223860217954386020100100810008121244</t>
  </si>
  <si>
    <t>Оказание услуг по уборке помещений.</t>
  </si>
  <si>
    <t>223860217954386020100100790001712244</t>
  </si>
  <si>
    <t>223860217954386020100100650001712244</t>
  </si>
  <si>
    <t>Итого предусмотрено на осуществление закупок в текущем году по МКУ "Дворец торжеств":</t>
  </si>
  <si>
    <t>223860217954386020100100630008010244</t>
  </si>
  <si>
    <t>223860217954386020100100640008121244</t>
  </si>
  <si>
    <t>233860217954386020100100320003299244</t>
  </si>
  <si>
    <t>Поставка цветочных композиций</t>
  </si>
  <si>
    <t>223860217954386020100100740008129244</t>
  </si>
  <si>
    <t>223860217954386020100100700008129244</t>
  </si>
  <si>
    <t>Услуги по уборке территории от снега (механическая уборка спецтранспортом)</t>
  </si>
  <si>
    <t>223860217954386020100100720008425244</t>
  </si>
  <si>
    <t>Услуги по техническому обслуживанию систем пожарной, охранной сигнализации</t>
  </si>
  <si>
    <t>233860217954386020100100300001712244</t>
  </si>
  <si>
    <t>233860217954386020100100170001712244</t>
  </si>
  <si>
    <t>223860217954386020100100730008020244</t>
  </si>
  <si>
    <t>Услуги по техническому обслуживанию систем видеонаблюдения</t>
  </si>
  <si>
    <t>223860217954386020100100690008129244</t>
  </si>
  <si>
    <t>Услуги по уборке территории от снега (механическая уборка спецтранспортом) в 4 квартале 2022 г.</t>
  </si>
  <si>
    <t>223860217954386020100100750008010244</t>
  </si>
  <si>
    <t>Оказание услуг по охране объектов и имущества (технический мониторинг) с использованием кнопки тревожной сигнализации.</t>
  </si>
  <si>
    <t>Итого предусмотрено на осуществление закупокна первый год планового периода по МКУ "Дворец торжеств":</t>
  </si>
  <si>
    <t>233860217954386020100100150008010244</t>
  </si>
  <si>
    <t>233860217954386020100100160008121244</t>
  </si>
  <si>
    <t>243860217954386020100100080003299244</t>
  </si>
  <si>
    <t>233860217954386020100100250008129244</t>
  </si>
  <si>
    <t>233860217954386020100100210008129244</t>
  </si>
  <si>
    <t>233860217954386020100100230008425244</t>
  </si>
  <si>
    <t>243860217954386020100100030001712244</t>
  </si>
  <si>
    <t>233860217954386020100100240008020244</t>
  </si>
  <si>
    <t>233860217954386020100100260008010244</t>
  </si>
  <si>
    <t>243860217954386020100100060001712244</t>
  </si>
  <si>
    <t>Итого предусмотрено на осуществление закупокна второй год планового периода по МКУ "Дворец торжеств":</t>
  </si>
  <si>
    <t>МБУДО "ДШИ №2"</t>
  </si>
  <si>
    <t>22 38602003194860201001 0046 000 8129 244</t>
  </si>
  <si>
    <t>оказание услуг по уборке прилегающей территории (дворник) 2022 году</t>
  </si>
  <si>
    <t>22 38602003194860201001 0029 000 1712 244</t>
  </si>
  <si>
    <t xml:space="preserve">
22 38602003194860201001 0028 000 6201 244</t>
  </si>
  <si>
    <t xml:space="preserve">
22 38602003194860201001 0027 000 8010 244</t>
  </si>
  <si>
    <t>Оказание услуг по охране объектов муниципальной собственности в 2023 году</t>
  </si>
  <si>
    <t xml:space="preserve">
22 38602003194860201001 0030 000 8121 244</t>
  </si>
  <si>
    <t xml:space="preserve">
22 38602003194860201001 0032 000 8621 244</t>
  </si>
  <si>
    <t>Итого предусмотрено на осуществление закупок в текущем году по Итого предусмотрено на осуществление закупок в текущем году по МБУДО "ДШИ №2":</t>
  </si>
  <si>
    <t>МБУ СП СШОР "Кедр"</t>
  </si>
  <si>
    <t>22 38602003652860201001 0008 000 3700 244</t>
  </si>
  <si>
    <t>Оказание услуг по откачке и вывозу сточных вод из септиков на объектах МБУ СП СШОР "Кедр" в 2022 году</t>
  </si>
  <si>
    <t>Итого предусмотрено на осуществление закупок в текущем году МБУ СП СШОР "Кедр":</t>
  </si>
  <si>
    <t>22 38602003652860201001 0015 000 8010 244</t>
  </si>
  <si>
    <t xml:space="preserve"> 
22 38602003652860201001 0013 000 4939 244</t>
  </si>
  <si>
    <t>Оказание автотранспортных услуг по перевозке организованных групп детей на территории Ханты-Мансийского автономного округа - Югры в 2023 г., 2024 г.</t>
  </si>
  <si>
    <t xml:space="preserve"> 
22 38602003652860201001 0003 000 8121 244</t>
  </si>
  <si>
    <t xml:space="preserve"> 
22 38602003652860201001 0024 000 3700 244</t>
  </si>
  <si>
    <t>Оказание услуг по откачке и вывозу сточных вод из септиков на объектах МБУ СП СШОР "Кедр" в 2023 году</t>
  </si>
  <si>
    <t xml:space="preserve"> 
22 38602003652860201001 0010 000 8010 244</t>
  </si>
  <si>
    <t xml:space="preserve"> 
22 38602003652860201001 0011 000 9601 244</t>
  </si>
  <si>
    <t>Оказание услуг по стирке и химчистке мягкого инвентаря, коврового покрытия в 2023 г., в 2024 г.</t>
  </si>
  <si>
    <t xml:space="preserve"> 
22 38602003652860201001 0012 000 4932 244</t>
  </si>
  <si>
    <t>Оказание услуг по организации перевозок пассажиров и багажа легковым такси в 2023 г., в 2024 г.</t>
  </si>
  <si>
    <t>Итого предусмотрено на осуществление закупок на первый год планового периода по МБУ СП СШОР "Кедр":</t>
  </si>
  <si>
    <t xml:space="preserve"> 
24 38602003652860201001 0018 000 8121 244</t>
  </si>
  <si>
    <t xml:space="preserve"> 
24 38602003652860201001 0023 000 3700 244</t>
  </si>
  <si>
    <t>Оказание услуг по откачке и вывозу сточных вод из септиков на объектах МБУ СП СШОР "Кедр" в 2024 году</t>
  </si>
  <si>
    <t xml:space="preserve"> 
24 38602003652860201001 0022 000 8010 244</t>
  </si>
  <si>
    <t>Итого предусмотрено на осуществление закупок на второй год планового периода по МБУ СП СШОР "Кедр":</t>
  </si>
  <si>
    <t xml:space="preserve">МБУ ДО  "ДШИ им. Г. Кукуевицкого" </t>
  </si>
  <si>
    <t>213860200317086020100100320018010244</t>
  </si>
  <si>
    <t>213860200317086020100100330018121244</t>
  </si>
  <si>
    <t>213860200317086020100100310014932244</t>
  </si>
  <si>
    <t>Итого  предусмотрено на осуществление закупок в текущем году по МБУ ДО  "ДШИ им. Г. Кукуевицкого" :</t>
  </si>
  <si>
    <t>223860200317086020100100260008010244</t>
  </si>
  <si>
    <t>Услуги частной охраны (Выставление поста охраны)</t>
  </si>
  <si>
    <t>223860200317086020100100270008121244</t>
  </si>
  <si>
    <t>223860200317086020100100280004932244</t>
  </si>
  <si>
    <t>Итого  предусмотрено на осуществление закупок на первый год планового периода по МБУ ДО  "ДШИ им. Г. Кукуевицкого" :</t>
  </si>
  <si>
    <t>МКУ "Сургутский спасательный центр"</t>
  </si>
  <si>
    <t>223860200330086020100100610001920244</t>
  </si>
  <si>
    <t>Поставка моторных и трансмиссионных масел для судов, лодочных моторов, снегоходов и водолазного оборудования</t>
  </si>
  <si>
    <t>223860200330086020100100630003315244</t>
  </si>
  <si>
    <t>Услуги по техническому обслуживанию и ремонту лодочных моторов</t>
  </si>
  <si>
    <t>223860200330086020100100640008621244</t>
  </si>
  <si>
    <t>Оказание услуг по проведению периодических медицинских осмотров сотрудников</t>
  </si>
  <si>
    <t>2238602003300860201001006200000002444</t>
  </si>
  <si>
    <t>Поставка запасных частей для лодочных моторов</t>
  </si>
  <si>
    <t>223860200330086020100100670004520244</t>
  </si>
  <si>
    <t>Оказание услуг по диагностике, техническому обслуживанию и ремонту автотранспортных средств для обеспечения муниципальных нужд</t>
  </si>
  <si>
    <t>223860200330086020100100800002720244</t>
  </si>
  <si>
    <t>Поставка аккумуляторных батарей для радиостанций</t>
  </si>
  <si>
    <t>223860200330086020100100580000000244</t>
  </si>
  <si>
    <t>Поставка масел, специальных жидкостей для автомобилей.</t>
  </si>
  <si>
    <t>223860200330086020100100660000000244</t>
  </si>
  <si>
    <t>Поставка запасных частей к автотранспорту</t>
  </si>
  <si>
    <t>223860200330086020100100780002899244</t>
  </si>
  <si>
    <t>Поставка сорбирующих минибонов для ликвидации разливов нефтепродуктов</t>
  </si>
  <si>
    <t>223860200330086020100100770002599244</t>
  </si>
  <si>
    <t>Поставка запасных частей для судов</t>
  </si>
  <si>
    <t>223860200330086020100100540000000244</t>
  </si>
  <si>
    <t>Поставка водолазного снаряжения и расходных материалов к водолазному оборудованию</t>
  </si>
  <si>
    <t>223860200330086020100100550001394244</t>
  </si>
  <si>
    <t>Поставка веревок для выполнения аварийно-спасательных работ</t>
  </si>
  <si>
    <t>223860200330086020100100570001712244</t>
  </si>
  <si>
    <t>Поставка бумаги для обеспечения муниципальных нужд</t>
  </si>
  <si>
    <t>223860200330086020100100600002211244</t>
  </si>
  <si>
    <t>Поставка шин к автотранспорту</t>
  </si>
  <si>
    <t>223860200330086020100100560002823244</t>
  </si>
  <si>
    <t>223860200330086020100100590001419244</t>
  </si>
  <si>
    <t>223860200330086020100100730008121244</t>
  </si>
  <si>
    <t>223860200330086020100100720008129244</t>
  </si>
  <si>
    <t>Оказание услуг по зимнему содержанию территории</t>
  </si>
  <si>
    <t>223860200330086020100100740005629244</t>
  </si>
  <si>
    <t>Оказание услуг по организации общественного питания</t>
  </si>
  <si>
    <t>Итого предусмотрено на осуществеление закупок в текущем году по МКУ "Сургутский спасательный центр":</t>
  </si>
  <si>
    <t>233860200330086020100100410001920244</t>
  </si>
  <si>
    <t>233860200330086020100100360003315244</t>
  </si>
  <si>
    <t>233860200330086020100100220008621244</t>
  </si>
  <si>
    <t>233860200330086020100100300000000244</t>
  </si>
  <si>
    <t>233860200330086020100100370004520244</t>
  </si>
  <si>
    <t>233860200330086020100100240000000244</t>
  </si>
  <si>
    <t>233860200330086020100100270000000244</t>
  </si>
  <si>
    <t>233860200330086020100100280000000244</t>
  </si>
  <si>
    <t>233860200330086020100100400001394244</t>
  </si>
  <si>
    <t>233860200330086020100100250001712244</t>
  </si>
  <si>
    <t>233860200330086020100100290002211244</t>
  </si>
  <si>
    <t>233860200330086020100100260002823244</t>
  </si>
  <si>
    <t>233860200330086020100100420001419244</t>
  </si>
  <si>
    <t>233860200330086020100100380008121244</t>
  </si>
  <si>
    <t>233860200330086020100100350008129244</t>
  </si>
  <si>
    <t>233860200330086020100100390005629244</t>
  </si>
  <si>
    <t>Итого предусмотрено на осуществеление закупок на первый год планового периода по МКУ "Сургутский спасательный центр":</t>
  </si>
  <si>
    <t>243860200330086020100100150001920244</t>
  </si>
  <si>
    <t>243860200330086020100100070003315244</t>
  </si>
  <si>
    <t>243860200330086020100100120008621244</t>
  </si>
  <si>
    <t>243860200330086020100100210000000244</t>
  </si>
  <si>
    <t>243860200330086020100100080004520244</t>
  </si>
  <si>
    <t>243860200330086020100100140000000244</t>
  </si>
  <si>
    <t>243860200330086020100100220000000244</t>
  </si>
  <si>
    <t>243860200330086020100100170000000244</t>
  </si>
  <si>
    <t>243860200330086020100100180001394244</t>
  </si>
  <si>
    <t>243860200330086020100100190001712244</t>
  </si>
  <si>
    <t>243860200330086020100100200002211244</t>
  </si>
  <si>
    <t>243860200330086020100100230002823244</t>
  </si>
  <si>
    <t>243860200330086020100100240001419244</t>
  </si>
  <si>
    <t>МКУ "Хозяйственно-эксплуатационное управление"</t>
  </si>
  <si>
    <t>223860200338886020100101960007120244</t>
  </si>
  <si>
    <t>Оказание услуг по проведению технического освидетельствования и электроизмерительных работ подъемно-транспортного оборудования</t>
  </si>
  <si>
    <t xml:space="preserve">Электронный аукцион </t>
  </si>
  <si>
    <t>223860200338886020100102040002211244</t>
  </si>
  <si>
    <t>Поставка автомобильных шин</t>
  </si>
  <si>
    <t>223860200338886020100102050002720244</t>
  </si>
  <si>
    <t>Поставка батарей и аккумуляторов</t>
  </si>
  <si>
    <t>223860200338886020100102060000000244</t>
  </si>
  <si>
    <t>Поставка товаров хозяйственно-бытового назначения</t>
  </si>
  <si>
    <t>223860200338886020100102070000000244</t>
  </si>
  <si>
    <t>223860200338886020100102080000000244</t>
  </si>
  <si>
    <t>Поставка бумаги и изделий из бумаги</t>
  </si>
  <si>
    <t>223860200338886020100102090000000244</t>
  </si>
  <si>
    <t>Поставка сантехнических товаров</t>
  </si>
  <si>
    <t>223860200338886020100102100000000244</t>
  </si>
  <si>
    <t>Поставка электротоваров</t>
  </si>
  <si>
    <t>223860200338886020100102120000000244</t>
  </si>
  <si>
    <t>Поставка товаров для растениеводства</t>
  </si>
  <si>
    <t>223860200338886020100102130001729244</t>
  </si>
  <si>
    <t>Поставка оригинальных расходных материалов для принтеров</t>
  </si>
  <si>
    <t>223860200338886020100102150002620244</t>
  </si>
  <si>
    <t>223860200338886020100102160004332244</t>
  </si>
  <si>
    <t>Выполнение работ по замене оконных блоков</t>
  </si>
  <si>
    <t>223860200338886020100102170000000244</t>
  </si>
  <si>
    <t>Поставка строительных материалов на текущий ремонт кабинетов</t>
  </si>
  <si>
    <t>223860200338886020100102200003101244</t>
  </si>
  <si>
    <t>223860200338886020100102280003312244</t>
  </si>
  <si>
    <t>Оказание услуг по техническому обслуживанию систем кондиционирования</t>
  </si>
  <si>
    <t>223860200338886020100102440001920244</t>
  </si>
  <si>
    <t>Поставка масел</t>
  </si>
  <si>
    <t>223860200338886020100102500003101244</t>
  </si>
  <si>
    <t>Поставка оборудования для видеоконференцсвязи</t>
  </si>
  <si>
    <t>223860200338886020100102520002825244</t>
  </si>
  <si>
    <t>Поставка фильтра поглотителя ФПУ-200</t>
  </si>
  <si>
    <t>223860200338886020100102530005819244</t>
  </si>
  <si>
    <t>Изготовление, тиражирование и поставка полиграфической и печатной продукции.</t>
  </si>
  <si>
    <t>223860200338886020100102550001412244</t>
  </si>
  <si>
    <t>Поставка спецодежды и других средств индивидуальной защиты</t>
  </si>
  <si>
    <t>223860200338886020100102590008122244</t>
  </si>
  <si>
    <t>Оказание услуг по мойке витражей, окон и фасадов административных зданий</t>
  </si>
  <si>
    <t>223860200338886020100102610004339244</t>
  </si>
  <si>
    <t>Выполнение работ по ремонту крыльца пожарного выхода</t>
  </si>
  <si>
    <t>223860200338886020100102660002825244</t>
  </si>
  <si>
    <t>Поставка кондиционеров</t>
  </si>
  <si>
    <t>223860200338886020100102670001392244</t>
  </si>
  <si>
    <t>Поставка флагов</t>
  </si>
  <si>
    <t>223860200338886020100102690002823244</t>
  </si>
  <si>
    <t>Поставка оригинальных расходных материалов для печатающих устройств</t>
  </si>
  <si>
    <t>223860200338886020100102710002444244</t>
  </si>
  <si>
    <t>Поставка муфт для металлопластиковых труб</t>
  </si>
  <si>
    <t>223860200338886020100102720002814244</t>
  </si>
  <si>
    <t>Поставка клапанов пожарных</t>
  </si>
  <si>
    <t>223860200338886020100102730003312244</t>
  </si>
  <si>
    <t>Оказание услуг по обслуживанию и поверке огнетушителей</t>
  </si>
  <si>
    <t>223860200338886020100102740008425244</t>
  </si>
  <si>
    <t>Оказание услуги по разработке, изготовлению и поставке планов эвакуации при пожаре</t>
  </si>
  <si>
    <t>223860200338886020100102470004932244</t>
  </si>
  <si>
    <t>Оказание услуг по транспортному обслуживанию (услуги такси)</t>
  </si>
  <si>
    <t>223860200338886020100102570008129244</t>
  </si>
  <si>
    <t>Оказание услуг по уборке крыш, козырьков от снега и обледенений</t>
  </si>
  <si>
    <t>Итого  предусмотрено на осуществление закупок в текущем году по МКУ "ХЭУ":</t>
  </si>
  <si>
    <t>233860200338886020100100220008621244</t>
  </si>
  <si>
    <t>Оказание услуг по предрейсовым и послерейсовым медицинским осмотрам</t>
  </si>
  <si>
    <t>233860200338886020100100230008690244</t>
  </si>
  <si>
    <t>223860200338886020100102020008010244</t>
  </si>
  <si>
    <t>Оказание услуг по охране объектов с использованием кнопки тревожной сигнализации и (или) пульта централизованного наблюдения.</t>
  </si>
  <si>
    <t>223860200338886020100102190004520244</t>
  </si>
  <si>
    <t>Оказание услуг по техническому обслуживанию и ремонту автотранспортных средств с использованием оригинальных запасных частей</t>
  </si>
  <si>
    <t>223860200338886020100102210006209244</t>
  </si>
  <si>
    <t>Оказание услуг по эксплуатационно-техническому обслуживанию интегрированного аппаратного комплекса зала заседаний Думы города Сургута</t>
  </si>
  <si>
    <t xml:space="preserve">Открытый конкурс в электронной форме </t>
  </si>
  <si>
    <t>223860200338886020100102240003312244</t>
  </si>
  <si>
    <t>Оказание услуг по техническому обслуживанию арочных металлодетекторов</t>
  </si>
  <si>
    <t>223860200338886020100102260003312244</t>
  </si>
  <si>
    <t>Оказание услуг по техническому обслуживанию кондиционеров</t>
  </si>
  <si>
    <t>223860200338886020100102270003312244</t>
  </si>
  <si>
    <t>Оказание услуг по техническому обслуживанию систем вентиляции, кондиционирования.</t>
  </si>
  <si>
    <t>223860200338886020100102290008129244</t>
  </si>
  <si>
    <t>Оказание услуг по вывозу снега</t>
  </si>
  <si>
    <t>223860200338886020100102300008121244</t>
  </si>
  <si>
    <t>223860200338886020100102310003312244</t>
  </si>
  <si>
    <t>Оказание услуг по техническому обслуживанию систем видеоконференцсвязи</t>
  </si>
  <si>
    <t>223860200338886020100102320006209244</t>
  </si>
  <si>
    <t>Оказание услуг по эксплуатационно-техническому обслуживанию интегрированных аппаратных комплексов конференц-систем.</t>
  </si>
  <si>
    <t>223860200338886020100102330003312244</t>
  </si>
  <si>
    <t>Оказание услуг по техническому обслуживанию аппаратных и программных средств, направленных на ограничение и санкционирование доступа людей, транспорта в (из) помещений, зданий, зон и территорий.</t>
  </si>
  <si>
    <t>223860200338886020100102340003312244</t>
  </si>
  <si>
    <t>Оказание услуг по техническому обслуживанию и диагностике рольставен</t>
  </si>
  <si>
    <t>223860200338886020100102350003312244</t>
  </si>
  <si>
    <t>Оказание услуг по техническому обслуживанию систем видеонаблюдения.</t>
  </si>
  <si>
    <t>223860200338886020100102360003312244</t>
  </si>
  <si>
    <t>Оказание услуг по техническому обслуживанию дизель-генераторов</t>
  </si>
  <si>
    <t>223860200338886020100102370007120244</t>
  </si>
  <si>
    <t>Оказание услуг по испытанию пожарных кранов и водопроводов.</t>
  </si>
  <si>
    <t>223860200338886020100102380003822244</t>
  </si>
  <si>
    <t>Оказание услуг по сбору, транспортированию, утилизации и (или) обезвреживанию отработанных ртутьсодержащих ламп (отходов)</t>
  </si>
  <si>
    <t>223860200338886020100102410003312244</t>
  </si>
  <si>
    <t>Оказание услуг по техническому обслуживанию технических средств безопасности зданий и сооружений, систем оповещения людей об эвакуации</t>
  </si>
  <si>
    <t>223860200338886020100102420003312244</t>
  </si>
  <si>
    <t>Оказание услуг по техническому обслуживанию подъемно-транспортного оборудования</t>
  </si>
  <si>
    <t>223860200338886020100102430003312244</t>
  </si>
  <si>
    <t>Оказание услуг по техническому сервисному обслуживанию приборов коммерческого учета и оборудования систем управления тепловодоснабжения здания</t>
  </si>
  <si>
    <t>223860200338886020100102540009511244</t>
  </si>
  <si>
    <t>Оказание услуг по техническому обслуживанию, ремонту и заправке картриджей</t>
  </si>
  <si>
    <t>223860200338886020100102620003700244</t>
  </si>
  <si>
    <t>Оказание услуг по откачке, вывозу и передаче на канализование жидких бытовых отходов</t>
  </si>
  <si>
    <t>233860200338886020100100290001412244</t>
  </si>
  <si>
    <t>233860200338886020100100300000000244</t>
  </si>
  <si>
    <t>233860200338886020100100310003312244</t>
  </si>
  <si>
    <t>233860200338886020100100330002720244</t>
  </si>
  <si>
    <t>Поставка аккумуляторных батарей</t>
  </si>
  <si>
    <t>233860200338886020100100340000000244</t>
  </si>
  <si>
    <t>Поставка товаров хозяйственно-бытового назначения (инвентаря) и моющих средств</t>
  </si>
  <si>
    <t>233860200338886020100100370000000244</t>
  </si>
  <si>
    <t>Поставка изделий из бумаги</t>
  </si>
  <si>
    <t>233860200338886020100100390000000244</t>
  </si>
  <si>
    <t>233860200338886020100100530004932244</t>
  </si>
  <si>
    <t>233860200338886020100100600001920244</t>
  </si>
  <si>
    <t>233860200338886020100100640000000244</t>
  </si>
  <si>
    <t>Поставка земли, удобрения, кашпо</t>
  </si>
  <si>
    <t>233860200338886020100100710007120244</t>
  </si>
  <si>
    <t>233860200338886020100100730002620244</t>
  </si>
  <si>
    <t>233860200338886020100100750001729244</t>
  </si>
  <si>
    <t>Поставка оригинальных расходных материалов для факсимильных аппаратов</t>
  </si>
  <si>
    <t>233860200338886020100100840008129244</t>
  </si>
  <si>
    <t>233860200338886020100100860008122244</t>
  </si>
  <si>
    <t>233860200338886020100100930001392244</t>
  </si>
  <si>
    <t>Итого  предусмотрено на осуществление закупок на первый год планового периода по МКУ "ХЭУ":</t>
  </si>
  <si>
    <t>233860200338886020100100440004520244</t>
  </si>
  <si>
    <t>233860200338886020100100450006209244</t>
  </si>
  <si>
    <t>233860200338886020100100470003312244</t>
  </si>
  <si>
    <t>233860200338886020100100580006209244</t>
  </si>
  <si>
    <t>233860200338886020100100650003312244</t>
  </si>
  <si>
    <t>233860200338886020100100660003312244</t>
  </si>
  <si>
    <t>233860200338886020100100670003312244</t>
  </si>
  <si>
    <t>233860200338886020100100680003312244</t>
  </si>
  <si>
    <t>233860200338886020100100690003312244</t>
  </si>
  <si>
    <t>233860200338886020100100700003312244</t>
  </si>
  <si>
    <t>233860200338886020100100720003312244</t>
  </si>
  <si>
    <t>233860200338886020100100740007120244</t>
  </si>
  <si>
    <t>233860200338886020100100760003312244</t>
  </si>
  <si>
    <t>233860200338886020100100770003822244</t>
  </si>
  <si>
    <t>233860200338886020100100780003312244</t>
  </si>
  <si>
    <t>233860200338886020100100790009511244</t>
  </si>
  <si>
    <t>233860200338886020100100800003312244</t>
  </si>
  <si>
    <t>233860200338886020100100830008129244</t>
  </si>
  <si>
    <t>233860200338886020100100850008121244</t>
  </si>
  <si>
    <t>233860200338886020100100910008010244</t>
  </si>
  <si>
    <t>243860200338886020100100030001412244</t>
  </si>
  <si>
    <t>243860200338886020100100040000000244</t>
  </si>
  <si>
    <t>243860200338886020100100050002720244</t>
  </si>
  <si>
    <t>243860200338886020100100060000000244</t>
  </si>
  <si>
    <t>243860200338886020100100110004932244</t>
  </si>
  <si>
    <t>243860200338886020100100130001920244</t>
  </si>
  <si>
    <t>243860200338886020100100150002211244</t>
  </si>
  <si>
    <t>243860200338886020100100170000000244</t>
  </si>
  <si>
    <t>243860200338886020100100180003312244</t>
  </si>
  <si>
    <t>243860200338886020100100190007120244</t>
  </si>
  <si>
    <t>243860200338886020100100200000000244</t>
  </si>
  <si>
    <t>243860200338886020100100210001729244</t>
  </si>
  <si>
    <t>243860200338886020100100230008129244</t>
  </si>
  <si>
    <t>243860200338886020100100240008122244</t>
  </si>
  <si>
    <t>243860200338886020100100250001392244</t>
  </si>
  <si>
    <t>Итого  предусмотрено на осуществление закупок на второй год планового периода по МКУ "ХЭУ":</t>
  </si>
  <si>
    <t>МКУ «Муниципальный архив города Сургута»</t>
  </si>
  <si>
    <t>223860230066286020100100040008121244</t>
  </si>
  <si>
    <t>Услуги по уборке помещений и крыльца</t>
  </si>
  <si>
    <t>Итого  предусмотрено на осуществление закупок в текущем году по МКУ «Муниципальный архив города Сургута»:</t>
  </si>
  <si>
    <t>223860230066286020100100030008121244</t>
  </si>
  <si>
    <t>188</t>
  </si>
  <si>
    <t>Итого  предусмотрено на осуществление закупок на первый год планового периода по МКУ «Муниципальный архив города Сургута»:</t>
  </si>
  <si>
    <t>223860230066286020100100020008121244</t>
  </si>
  <si>
    <t>Итого  предусмотрено на осуществление закупок на второй год планового периода по МКУ «Муниципальный архив города Сургута»:</t>
  </si>
  <si>
    <t>МБУ ЦСП "Сибирский легион"</t>
  </si>
  <si>
    <t>223860200288186020100100670003230244</t>
  </si>
  <si>
    <t>Поставка комплекта мишеней</t>
  </si>
  <si>
    <t>223860200288186020100100480003230244</t>
  </si>
  <si>
    <t>Поставка расходных материалов для пейнтбольных маркеров (шары)</t>
  </si>
  <si>
    <t>223860200288186020100100300008129244</t>
  </si>
  <si>
    <t>Оказание услуг по летнему содержанию мототрассы</t>
  </si>
  <si>
    <t>223860200288186020100100630001394244</t>
  </si>
  <si>
    <t>Поставка туристического снаряжения</t>
  </si>
  <si>
    <t>223860200288186020100100640003230244</t>
  </si>
  <si>
    <t>223860200288186020100100650003091244</t>
  </si>
  <si>
    <t>Поставка мотоцикла</t>
  </si>
  <si>
    <t>223860200288186020100100610001414244</t>
  </si>
  <si>
    <t>Поставка футболок</t>
  </si>
  <si>
    <t>223860200288186020100100440009499244</t>
  </si>
  <si>
    <t>Оказание услуг по организации экспедиции по местам боевых действий в Великой Отечественной Войне для воспитанников МБУ «ЦСП «Сибирский легион»</t>
  </si>
  <si>
    <t>223860200288186020100100660002540244</t>
  </si>
  <si>
    <t>Поставка комплектов для практической стрельбы</t>
  </si>
  <si>
    <t>Итого предусмотрено на осуществление закупок в текущем году по МБУ ЦСП "Сибирский легион":</t>
  </si>
  <si>
    <t>223860200288186020100100570008121244</t>
  </si>
  <si>
    <t>Оказание услуг по зимнему содержанию территории (уборка и вывоз снега)</t>
  </si>
  <si>
    <t>223860200288186020100100320008121244</t>
  </si>
  <si>
    <t>Оказание услуг по комплексному обслуживанию и санитарному содержанию внутренних административных, бытовых, служебных, технических помещений (клининг) в 2023, 2024 году.</t>
  </si>
  <si>
    <t>223860200288186020100100280004939244</t>
  </si>
  <si>
    <t>Оказание автотранспортных услуг на 2023, 2024 год (микроавтобусы).</t>
  </si>
  <si>
    <t>223860200288186020100100270004932244</t>
  </si>
  <si>
    <t>Оказание услуг по организации перевозок пассажиров и багажа легковым такси в 2023, 2024 году.</t>
  </si>
  <si>
    <t>223860200288186020100100340003313244</t>
  </si>
  <si>
    <t>Оказание услуг по техническому обслуживанию оборудования системы видеонаблюдения в 2023. 2024 году</t>
  </si>
  <si>
    <t>223860200288186020100100360008010244</t>
  </si>
  <si>
    <t>Оказание охранных услуг КТС, ПЦН на 2023, 2024 год</t>
  </si>
  <si>
    <t>223860200288186020100100380008621244</t>
  </si>
  <si>
    <t>Оказание услуг по проведению периодических медицинских осмотров работников в 2023, 2024 году</t>
  </si>
  <si>
    <t>223860200288186020100100550001920244</t>
  </si>
  <si>
    <t>Поставка нефтепродуктов (товар, необходимый для нормального жизнеобеспечения) во 1 полугодии 2023 года.</t>
  </si>
  <si>
    <t>223860200288186020100100420009319244</t>
  </si>
  <si>
    <t>Оказание услуг по организации участия воспитанников МБУ "ЦСП "Сибирский легион" в спортивных мероприятиях по мотоциклетному спорту</t>
  </si>
  <si>
    <t>223860200288186020100100470001812244</t>
  </si>
  <si>
    <t>Изготовление и поставка наградной продукции</t>
  </si>
  <si>
    <t>223860200288186020100100390009319244</t>
  </si>
  <si>
    <t>Оказание услуг по организации участия воспитанников МБУ "ЦСП "Сибирский легион" в спортивных мероприятиях по спортивному туризму</t>
  </si>
  <si>
    <t>223860200288186020100100370008010244</t>
  </si>
  <si>
    <t>Оказание охранных услуг на 2023, 2024 год</t>
  </si>
  <si>
    <t>Итого предусмотрено на осуществление закупок на первый год планового периода по МБУ ЦСП "Сибирский легион":</t>
  </si>
  <si>
    <t>Итого предусмотрено на осуществление закупок на второй год планового периода по МБУ ЦСП "Сибирский легион":</t>
  </si>
  <si>
    <t>223860218872486020100100550013313244</t>
  </si>
  <si>
    <t>Оказание услуг по сезонному техническому обслуживанию метеостанции, средств радиосвязи и антенно-фидерных устройств</t>
  </si>
  <si>
    <t>223860218872486020100100580012823244</t>
  </si>
  <si>
    <t>Поставка оригинальных запасных частей и расходных материалов для копировально-множительной техники и периферийного оборудования</t>
  </si>
  <si>
    <t>223860218872486020100100690013313244</t>
  </si>
  <si>
    <t>Оказание услуг по техническому обслуживанию фоторадарных комплексов АПК "Безопасный город" для обеспечения муниципальных нужд</t>
  </si>
  <si>
    <t xml:space="preserve">223860218872486020100100630003313244
</t>
  </si>
  <si>
    <t>Оказание услуг по техническому обслуживанию АПК «Безопасный город» для обеспечения муниципальных нужд</t>
  </si>
  <si>
    <t>223860218872486020100100640003313244</t>
  </si>
  <si>
    <t>Оказание услуг по техническому обслуживанию оборудования КМОС</t>
  </si>
  <si>
    <t>223860218872486020100100600003313244</t>
  </si>
  <si>
    <t>Оказание услуг по ремонту электронного и оптического оборудования для обеспечения муниципальных нужд</t>
  </si>
  <si>
    <t>223860218872486020100100660003313244</t>
  </si>
  <si>
    <t>Оказание услуг по техническому обслуживанию муниципальной системы оповещения населения города Сургута для обеспечения муниципальных нужд</t>
  </si>
  <si>
    <t>Итого предусмотрено на осуществление закупок в текущем году по МКУ "ЕДДС города Сургута":</t>
  </si>
  <si>
    <t>233860218872486020100100220003313244</t>
  </si>
  <si>
    <t>233860218872486020100100210003313244</t>
  </si>
  <si>
    <t>Выполнение работ по текущему ремонту оборудования АПК "Безопасный город"</t>
  </si>
  <si>
    <t>233860218872486020100100230002823244</t>
  </si>
  <si>
    <t>233860218872486020100100120003313244</t>
  </si>
  <si>
    <t>Услуги по техническому обслуживанию оборудования муниципальной системы оповещения города Сургута</t>
  </si>
  <si>
    <t>233860218872486020100100190003313244</t>
  </si>
  <si>
    <t>Итого предусмотрено на осуществление закупок на первый год планового периода  по МКУ "ЕДДС города Сургута":</t>
  </si>
  <si>
    <t>243860218872486020100100040003313244</t>
  </si>
  <si>
    <t>243860218872486020100100030003313244</t>
  </si>
  <si>
    <t>243860218872486020100100050002823244</t>
  </si>
  <si>
    <t>Итого предусмотрено на осуществление закупок на второй год планового периода по МКУ "ЕДДС города Сургута":</t>
  </si>
  <si>
    <t>223860200041186020100101200008425244</t>
  </si>
  <si>
    <t>Выполнение работ по противопаводковым мероприятиям в жилом секторе на территории г. Сургута</t>
  </si>
  <si>
    <t>223860200041186020100101240006832244</t>
  </si>
  <si>
    <t>Летнее содержание проездов к жилым строениям и строениям, приспособленным для проживания</t>
  </si>
  <si>
    <t>223860200041186020100100940009609244</t>
  </si>
  <si>
    <t>Обеспечение биотуалетами общегородских праздничных мероприятий</t>
  </si>
  <si>
    <t>223860200041186020100101030004211244</t>
  </si>
  <si>
    <t>Изготовление и установка маршрутных указателей на остановочных пунктах общественного транспорта г. Сургута</t>
  </si>
  <si>
    <t>223860200041186020100100680004339323</t>
  </si>
  <si>
    <t xml:space="preserve">Ремонт жилого помещения, единственными собственниками которого либо собственниками выделенных в натуре долей которых являются дети-сироты и дети, оставшиеся без попечения родителей </t>
  </si>
  <si>
    <t>Оказание услуг по инвентаризации и паспортизации объектов дорожного хозяйства</t>
  </si>
  <si>
    <t>223860200041186020100101170044211244</t>
  </si>
  <si>
    <t>Ремонт внутриквартальных проездов</t>
  </si>
  <si>
    <t>223860200041186020100101170054211244</t>
  </si>
  <si>
    <t>223860200041186020100101170064211244</t>
  </si>
  <si>
    <t>223860200041186020100101130004211243</t>
  </si>
  <si>
    <t>Капитальный ремонт дороги автомобильной г.Сургут - г.Нижневартовск</t>
  </si>
  <si>
    <t>223860200041186020100101140007112243</t>
  </si>
  <si>
    <t>Выполнение проектно изыскательских работ</t>
  </si>
  <si>
    <t>223860200041186020100101170004211244</t>
  </si>
  <si>
    <t>223860200041186020100101170014211244</t>
  </si>
  <si>
    <t>223860200041186020100101170024211244</t>
  </si>
  <si>
    <t>223860200041186020100101170034211244</t>
  </si>
  <si>
    <t>223860200041186020100100880007500244</t>
  </si>
  <si>
    <t>223860200041186020100100920008129244</t>
  </si>
  <si>
    <t>Зимнее содержание бесхозяйных проездов к жилым домам города</t>
  </si>
  <si>
    <t>223860200041186020100100900008129244</t>
  </si>
  <si>
    <t>Зимнее содержание проездов к жилым домам, расположенным в поселках города</t>
  </si>
  <si>
    <t>223860200041186020100100930008129244</t>
  </si>
  <si>
    <t>223860200041186020100100910008129244</t>
  </si>
  <si>
    <t>223860200041186020100100850008121244</t>
  </si>
  <si>
    <t>223860200041186020100100830008010244</t>
  </si>
  <si>
    <t>Оказание услуг по частной охране (выставление поста охраны) в 2023 году.</t>
  </si>
  <si>
    <t>223860200041186020100100790004932244</t>
  </si>
  <si>
    <t>Оказание автотранспортных услуг в 2023 году</t>
  </si>
  <si>
    <t>223860200041186020100100690004941244</t>
  </si>
  <si>
    <t>Оказание услуг по транспортировке тел (останков) умерших (погибших) в специализированные медицинские учреждения</t>
  </si>
  <si>
    <t>223860200041186020100100760004932244</t>
  </si>
  <si>
    <t>Оказание услуг по организации перевозок пассажиров и багажа легковыми такси в 2023 году</t>
  </si>
  <si>
    <t>233860200041186020100100240007490244</t>
  </si>
  <si>
    <t>Выполнение работ по актуализации схемы водоснабжения и водоотведения муниципального образования городской округ Сургут Ханты-Мансийского автономного округа - Югры</t>
  </si>
  <si>
    <t>233860200041186020100100250007112244</t>
  </si>
  <si>
    <t>Актуализация схемы теплоснабжения муниципального образования городской округ Сургут Ханты-Мансийского автономного округа-Югры</t>
  </si>
  <si>
    <t>233860200041186020100100220007500244</t>
  </si>
  <si>
    <t>Выполнение работ по осуществлению деятельности по обращению с животными без владельцев</t>
  </si>
  <si>
    <t>233860200041186020100100420008425244</t>
  </si>
  <si>
    <t>233860200041186020100100230004211244</t>
  </si>
  <si>
    <t>233860200041186020100100300009609244</t>
  </si>
  <si>
    <t>233860200041186020100100340004211244</t>
  </si>
  <si>
    <t>233860200041186020100100200004339323</t>
  </si>
  <si>
    <t>233860200041186020100100390007112243</t>
  </si>
  <si>
    <t>Проектно-изыскательские работы</t>
  </si>
  <si>
    <t>233860200041186020100100220017500244</t>
  </si>
  <si>
    <t>233860200041186020100100280008129244</t>
  </si>
  <si>
    <t>233860200041186020100100260008129244</t>
  </si>
  <si>
    <t>233860200041186020100100290008129244</t>
  </si>
  <si>
    <t>233860200041186020100100270008129244</t>
  </si>
  <si>
    <t>223860200041186020100100770004932244</t>
  </si>
  <si>
    <t>243860200041186020100100140008425244</t>
  </si>
  <si>
    <t>243860200041186020100100030004211244</t>
  </si>
  <si>
    <t>243860200041186020100100070009609244</t>
  </si>
  <si>
    <t>243860200041186020100100050008129244</t>
  </si>
  <si>
    <t>243860200041186020100100060008129244</t>
  </si>
  <si>
    <t>243860200041186020100100100004211244</t>
  </si>
  <si>
    <t>Выполнение работ по изготовлению и установке маршрутных указателей и замене информационных аппликаций на маршрутных указателях на остановочных пунктах общественного транспорта г.Сургута</t>
  </si>
  <si>
    <t>243860200041186020100100010004339323</t>
  </si>
  <si>
    <t>Ремонт жилого помещения, единственными собственниками которого либо собственниками выделенных в натуре долей которых являются дети-сироты и дети, оставшиеся без попечения родителей</t>
  </si>
  <si>
    <t>МБУ СП СШОР "Ермак"</t>
  </si>
  <si>
    <t>223860200312386020100100300008010244</t>
  </si>
  <si>
    <t xml:space="preserve">оказание охранных услуг        </t>
  </si>
  <si>
    <t>электроный аукцион</t>
  </si>
  <si>
    <t>Итого предусмотренно на осуществление закупок в текущем году по МБУ СП СШОР "Ермак":</t>
  </si>
  <si>
    <t>223860227161286020100100490002823244</t>
  </si>
  <si>
    <t>223860227161286020100100570001712244</t>
  </si>
  <si>
    <t>503,96</t>
  </si>
  <si>
    <t>223860227161286020100100730008542244</t>
  </si>
  <si>
    <t>Оказание услуг по обучению в области пожарной безопасности</t>
  </si>
  <si>
    <t>запрос котировок в электронной фолрме</t>
  </si>
  <si>
    <t>64,0</t>
  </si>
  <si>
    <t>64,00</t>
  </si>
  <si>
    <t>223860227161286020100100000000000244</t>
  </si>
  <si>
    <t>Закупка канцелярской продукции</t>
  </si>
  <si>
    <t>261,3</t>
  </si>
  <si>
    <t>261,30</t>
  </si>
  <si>
    <t>223860227161286020100100660008541244</t>
  </si>
  <si>
    <t>Оказание услуг по проведению плановых семинаров для работников Администрации 
города Сургута, ее структурных подразделений  и муниципальных учреждений</t>
  </si>
  <si>
    <t>110,00</t>
  </si>
  <si>
    <t>март-май 2022</t>
  </si>
  <si>
    <t>223860227161286020100100680008541244</t>
  </si>
  <si>
    <t>Оказание услуг по проведению плановых семинаров для работников Администрации города Сургута, ее структурных подразделений</t>
  </si>
  <si>
    <t>666,4</t>
  </si>
  <si>
    <t>666,40</t>
  </si>
  <si>
    <t>223860227161286020100100670008542244</t>
  </si>
  <si>
    <t>Оказание услуг по проведению повышения квалификации для работников Администрации города Сургута, ее структурных подразделени</t>
  </si>
  <si>
    <t>974,48</t>
  </si>
  <si>
    <t>312,91</t>
  </si>
  <si>
    <t>3544,22</t>
  </si>
  <si>
    <t>223860227161286020100100550008121244</t>
  </si>
  <si>
    <t>232,57</t>
  </si>
  <si>
    <t>223860227161286020100100540004932244</t>
  </si>
  <si>
    <t>119,73</t>
  </si>
  <si>
    <t>233860227161286020100100160008541244</t>
  </si>
  <si>
    <t xml:space="preserve">Оказание услуг по проведению плановых семинаров для работников Администрации </t>
  </si>
  <si>
    <t>октябрь-декабрь 2022</t>
  </si>
  <si>
    <t>233860227161286020100100140008542244</t>
  </si>
  <si>
    <t>Оказание услуг по обучению работадателей и работников по вопросам охраны труда</t>
  </si>
  <si>
    <t>233860227161286020100100250008542244</t>
  </si>
  <si>
    <t>Оказание услуг по проведению повышения квалификации для работников Администрации города Сургута, ее структурных подразделений</t>
  </si>
  <si>
    <t>233860227161286020100100260008542244</t>
  </si>
  <si>
    <t>Оказание услуг по проведению повышения квалификации для руководителей муниципальных учреждений</t>
  </si>
  <si>
    <t>233860227161286020100100270008541244</t>
  </si>
  <si>
    <t>233860227161286020100100230001712244</t>
  </si>
  <si>
    <t>Поставка бумаги для офисного оборудования</t>
  </si>
  <si>
    <t>233860227161286020100100210002823244</t>
  </si>
  <si>
    <t>223860227161286020100100640008121244</t>
  </si>
  <si>
    <t>233860227161286020100100190004932244</t>
  </si>
  <si>
    <t>243860227161286020100100020008542244</t>
  </si>
  <si>
    <t>Оказание услуг по обучению работодателей и работников вопросам охраны труда</t>
  </si>
  <si>
    <t>октябрь-декабрь 2023</t>
  </si>
  <si>
    <t>243860227161286020100100010008542244</t>
  </si>
  <si>
    <t>243860227161286020100100080008541244</t>
  </si>
  <si>
    <t>243860227161286020100100060008542244</t>
  </si>
  <si>
    <t>243860227161286020100100050008541244</t>
  </si>
  <si>
    <t>233860227161286020100100240001712244</t>
  </si>
  <si>
    <t>233860227161286020100100220002823244</t>
  </si>
  <si>
    <t>223860200254686020100101220002823244</t>
  </si>
  <si>
    <t>Поставка оригинальных расходных материалов и запасных частей для печатающих устройств</t>
  </si>
  <si>
    <t>223860200254686020100101230002620244</t>
  </si>
  <si>
    <t>223860200254686020100101240009511244</t>
  </si>
  <si>
    <t>Оказание услуг по техническому обслуживанию и ремонту вычислительной, копировально-множительной техники и периферийного оборудования в муниципальных учреждениях</t>
  </si>
  <si>
    <t>223860200254686020100101260006209244</t>
  </si>
  <si>
    <t>Оказание услуг по продлению послегарантийной технической поддержки</t>
  </si>
  <si>
    <t>223860200254686020100101270006209244</t>
  </si>
  <si>
    <t>Поставка сертификатов на продление технической поддержки VMware</t>
  </si>
  <si>
    <t>223860200254686020100101280006209244</t>
  </si>
  <si>
    <t>Послегарантийная техподдержка на 1 год (Foundation Service-1Yr Post Wty NBD Resp DS)</t>
  </si>
  <si>
    <t>223860200254686020100101290006201244</t>
  </si>
  <si>
    <t>Оказание услуг по продлению неисключительного права на использование и воспроизведение антивирусного программного обеспечения «Антивирус Касперского»</t>
  </si>
  <si>
    <t>223860200254686020100101300006202244</t>
  </si>
  <si>
    <t>Поставка сертификатов активации сервиса совместной технической поддержки ПО ViPNet на 1 год</t>
  </si>
  <si>
    <t>223860200254686020100101310006209244</t>
  </si>
  <si>
    <t>Поставка ключа активации совместной технической поддержки средств защиты информации Secret Net Studio</t>
  </si>
  <si>
    <t>223860200254686020100101320005829244</t>
  </si>
  <si>
    <t>Оказание услуг по передаче неисключительных прав на использование лицензионного программного обеспечения XSpider</t>
  </si>
  <si>
    <t>223860200254686020100101330006202244</t>
  </si>
  <si>
    <t>Оказание услуг по предоставлению ключа активации технической поддержки программного обеспечения</t>
  </si>
  <si>
    <t>223860200254686020100101340006202244</t>
  </si>
  <si>
    <t>Поставка ключа активации сервиса прямой технической поддержки средств защиты информации</t>
  </si>
  <si>
    <t>223860200254686020100101350005829244</t>
  </si>
  <si>
    <t>Оказание услуг по передаче неисключительных прав на использование лицензионного программного обеспечения</t>
  </si>
  <si>
    <t>223860200254686020100101370007490244</t>
  </si>
  <si>
    <t>Оказание услуг по аттестации и проведению периодического контроля объектов информатизации</t>
  </si>
  <si>
    <t>223860200254686020100101380007490244</t>
  </si>
  <si>
    <t>Оказание услуг по проведению комплекса организационно-технических мероприятий по аттестации на соответствие объектов информатизации требованиям ФСТЭК по защите конфиденциальной информации</t>
  </si>
  <si>
    <t>223860200254686020100101390006190244</t>
  </si>
  <si>
    <t>Оказание услуг по организации сети передачи данных для системы видеонаблюдения на остановочных павильонах города Сургута и предоставления Wi-Fi доступа к ресурсам сети Интернет</t>
  </si>
  <si>
    <t>223860200254686020100101400006203244</t>
  </si>
  <si>
    <t>Оказание услуг по сопровождению автоматизированной информационной системы обеспечения градостроительной деятельности (АИСОГД) г. Сургута</t>
  </si>
  <si>
    <t>02.2022</t>
  </si>
  <si>
    <t>223860200254686020100101430005829244</t>
  </si>
  <si>
    <t>Оказание услуг по продлению годовой подписки на лицензионное обслуживание автоматизированных систем бухгалтерского учета «Парус-Бюджет 7.66 и выше»</t>
  </si>
  <si>
    <t>223860200254686020100101440005829244</t>
  </si>
  <si>
    <t>Оказание услуг по продлению годовой подписки на лицензионное обслуживание автоматизированной системы бухгалтерского учета «Парус-Бюджет 10»</t>
  </si>
  <si>
    <t>223860200254686020100101450006399244</t>
  </si>
  <si>
    <t>Оказание услуг единой диспетчерской службы по информатизации (ЕДС-ИТ)</t>
  </si>
  <si>
    <t>223860200254686020100101460005829244</t>
  </si>
  <si>
    <t>Оказание услуг по передаче неисключительных прав использования программы для ЭВМ «ЛИК:Эксперт»</t>
  </si>
  <si>
    <t>223860200254686020100101480006203244</t>
  </si>
  <si>
    <t>Оказание услуг по сопровождению программных систем</t>
  </si>
  <si>
    <t>Электронный аукцион/Открытый конкурс в электронной форме</t>
  </si>
  <si>
    <t>223860200254686020100101490006201244</t>
  </si>
  <si>
    <t>223860200254686020100101500006203244</t>
  </si>
  <si>
    <t>Оказание услуг по сопровождению системы управления очередью в управлении записи актов гражданского состояния Администрации города Сургута</t>
  </si>
  <si>
    <t>223860200254686020100101510006209244</t>
  </si>
  <si>
    <t>Поставка ключа активации сервиса прямой технической поддержки средств защиты информации АПКШ «Континент»</t>
  </si>
  <si>
    <t>223860200254686020100101520002823244</t>
  </si>
  <si>
    <t>223860200254686020100101530002620244</t>
  </si>
  <si>
    <t>Поставка технических средств</t>
  </si>
  <si>
    <t>223860200254686020100101550005829244</t>
  </si>
  <si>
    <t>Оказание услуг по передаче неисключительных прав использования электронной системы</t>
  </si>
  <si>
    <t>223860200254686020100101560006201244</t>
  </si>
  <si>
    <t>223860200254686020100101570002823244</t>
  </si>
  <si>
    <t>223860200254686020100101580002620244</t>
  </si>
  <si>
    <t>223860200254686020100101590006201244</t>
  </si>
  <si>
    <t>223860200254686020100101600002823244</t>
  </si>
  <si>
    <t>223860200254686020100101610002620244</t>
  </si>
  <si>
    <t>223860200254686020100101620006201244</t>
  </si>
  <si>
    <t>223860200254686020100101690002823244</t>
  </si>
  <si>
    <t>223860200254686020100101700008010244</t>
  </si>
  <si>
    <t>Оказание услуг по частной охране</t>
  </si>
  <si>
    <t>223860200254686020100101720003312244</t>
  </si>
  <si>
    <t>223860200254686020100101730004932244</t>
  </si>
  <si>
    <t>Транспортные услуги</t>
  </si>
  <si>
    <t>223860200254686020100101760002620244</t>
  </si>
  <si>
    <t>223860200254686020100101770005829244</t>
  </si>
  <si>
    <t>Оказание услуг по предоставлению неисключительных прав (лицензии) на право пользования системой автоматизированного сбора и лингвистического анализа данных из сети Интернет («Медиалогия»)</t>
  </si>
  <si>
    <t>223860200254686020100101780005829244</t>
  </si>
  <si>
    <t>Оказание услуг по передаче неисключительных прав (лицензии) на право пользования поисково-аналитической системы для организации мониторинга социальной сети «ВКонтакте»</t>
  </si>
  <si>
    <t>223860200254686020100101790005829244</t>
  </si>
  <si>
    <t>Оказание услуг по продлению неисключительного права (лицензии) на использование системы контентной фильтрации SkyDNS на один год</t>
  </si>
  <si>
    <t>Итого предусмотрено на осуществление закупок в текущем году по МКУ "УИТС г.Сургута"":</t>
  </si>
  <si>
    <t>233860200254686020100100460002823244</t>
  </si>
  <si>
    <t>233860200254686020100100480006209244</t>
  </si>
  <si>
    <t>233860200254686020100100490006209244</t>
  </si>
  <si>
    <t>233860200254686020100100500006209244</t>
  </si>
  <si>
    <t>233860200254686020100100510006201244</t>
  </si>
  <si>
    <t>233860200254686020100100520006202244</t>
  </si>
  <si>
    <t>233860200254686020100100530006209244</t>
  </si>
  <si>
    <t>233860200254686020100100540005829244</t>
  </si>
  <si>
    <t>233860200254686020100100550006202244</t>
  </si>
  <si>
    <t>233860200254686020100100560006202244</t>
  </si>
  <si>
    <t>233860200254686020100100570005829244</t>
  </si>
  <si>
    <t>233860200254686020100100590007490244</t>
  </si>
  <si>
    <t>233860200254686020100100600007490244</t>
  </si>
  <si>
    <t>233860200254686020100100610006110244</t>
  </si>
  <si>
    <t>Оказание услуг телематических служб (доступ к сети передачи данных «Интернет»)</t>
  </si>
  <si>
    <t>233860200254686020100100620006190244</t>
  </si>
  <si>
    <t>Оказание услуг сети передачи данных</t>
  </si>
  <si>
    <t>233860200254686020100100630002620244</t>
  </si>
  <si>
    <t>233860200254686020100100640006203244</t>
  </si>
  <si>
    <t>233860200254686020100100670005829244</t>
  </si>
  <si>
    <t>233860200254686020100100680005829244</t>
  </si>
  <si>
    <t>233860200254686020100100690006399244</t>
  </si>
  <si>
    <t>233860200254686020100100700005829244</t>
  </si>
  <si>
    <t>233860200254686020100100710006311244</t>
  </si>
  <si>
    <t>Оказание услуг по сопровождению ранее установленной справочно-правовой системы</t>
  </si>
  <si>
    <t>233860200254686020100100720006203244</t>
  </si>
  <si>
    <t>233860200254686020100100730006201244</t>
  </si>
  <si>
    <t>233860200254686020100100740006203244</t>
  </si>
  <si>
    <t>233860200254686020100100750006209244</t>
  </si>
  <si>
    <t>233860200254686020100100760002823244</t>
  </si>
  <si>
    <t>233860200254686020100100770006311244</t>
  </si>
  <si>
    <t>Оказание услуг по сопровождению ранее установленных комплектов справочно-правовой системы ГАРАНТ</t>
  </si>
  <si>
    <t>233860200254686020100100780002823244</t>
  </si>
  <si>
    <t>233860200254686020100100790005829244</t>
  </si>
  <si>
    <t>233860200254686020100100800006311244</t>
  </si>
  <si>
    <t>233860200254686020100100810006201244</t>
  </si>
  <si>
    <t>233860200254686020100100820002823244</t>
  </si>
  <si>
    <t>233860200254686020100100830002823244</t>
  </si>
  <si>
    <t>233860200254686020100100840006311244</t>
  </si>
  <si>
    <t>233860200254686020100100850006201244</t>
  </si>
  <si>
    <t>233860200254686020100100860002823244</t>
  </si>
  <si>
    <t>233860200254686020100100870002620244</t>
  </si>
  <si>
    <t>233860200254686020100100880006311244</t>
  </si>
  <si>
    <t>233860200254686020100100890006190244</t>
  </si>
  <si>
    <t>Оказание услуг по предоставлению волоконно-оптических линий и оконечного активного сетевого оборудования</t>
  </si>
  <si>
    <t>233860200254686020100100900006201244</t>
  </si>
  <si>
    <t>233860200254686020100100910006203244</t>
  </si>
  <si>
    <t>Оказание услуг по сопровождению АИС «Административная комиссия»</t>
  </si>
  <si>
    <t>233860200254686020100100920006311244</t>
  </si>
  <si>
    <t>233860200254686020100100930006190244</t>
  </si>
  <si>
    <t>Предоставление волоконно-оптической линии и оконечного активного сетевого оборудования</t>
  </si>
  <si>
    <t>233860200254686020100100980002823244</t>
  </si>
  <si>
    <t>Приобретение расходных (комплектующих) материалов для принтеров, многофункциональных устройств и копировальных аппаратов (оргтехники)</t>
  </si>
  <si>
    <t>233860200254686020100100990008010244</t>
  </si>
  <si>
    <t>233860200254686020100101010003312244</t>
  </si>
  <si>
    <t>233860200254686020100101020004932244</t>
  </si>
  <si>
    <t>Оказание автотранспортных услуг (легковой автотранспорт)</t>
  </si>
  <si>
    <t>233860200254686020100101050002620244</t>
  </si>
  <si>
    <t>233860200254686020100101060005829244</t>
  </si>
  <si>
    <t>233860200254686020100101070005829244</t>
  </si>
  <si>
    <t>233860200254686020100101080005829244</t>
  </si>
  <si>
    <t>233860200254686020100101090005829244</t>
  </si>
  <si>
    <t>233860200254686020100101100005829244</t>
  </si>
  <si>
    <t>233860200254686020100101110005829244</t>
  </si>
  <si>
    <t>Итого предусмотрено на осуществление закупок на первый год планового периода по МКУ "УИТС г.Сургута":</t>
  </si>
  <si>
    <t>243860200254686020100100010002823244</t>
  </si>
  <si>
    <t>243860200254686020100100030006209244</t>
  </si>
  <si>
    <t>243860200254686020100100040006209244</t>
  </si>
  <si>
    <t>243860200254686020100100050006202244</t>
  </si>
  <si>
    <t>243860200254686020100100060006209244</t>
  </si>
  <si>
    <t>243860200254686020100100070005829244</t>
  </si>
  <si>
    <t>243860200254686020100100080006202244</t>
  </si>
  <si>
    <t>243860200254686020100100090006202244</t>
  </si>
  <si>
    <t>243860200254686020100100100005829244</t>
  </si>
  <si>
    <t>243860200254686020100100120007490244</t>
  </si>
  <si>
    <t>243860200254686020100100130007490244</t>
  </si>
  <si>
    <t>243860200254686020100100140002620244</t>
  </si>
  <si>
    <t>243860200254686020100100150006203244</t>
  </si>
  <si>
    <t>243860200254686020100100170005829244</t>
  </si>
  <si>
    <t>243860200254686020100100180005829244</t>
  </si>
  <si>
    <t>243860200254686020100100190005829244</t>
  </si>
  <si>
    <t>243860200254686020100100200005829244</t>
  </si>
  <si>
    <t>Оказание услуг (выпуск электронного SSL-сертификата)</t>
  </si>
  <si>
    <t>243860200254686020100100210006209244</t>
  </si>
  <si>
    <t>243860200254686020100100220002823244</t>
  </si>
  <si>
    <t>243860200254686020100100230002823244</t>
  </si>
  <si>
    <t>поставка оригинальных расходных материалов для копировально-множительной техники и периферийного оборудования</t>
  </si>
  <si>
    <t>243860200254686020100100240005829244</t>
  </si>
  <si>
    <t>243860200254686020100100250002823244</t>
  </si>
  <si>
    <t>243860200254686020100100260002620244</t>
  </si>
  <si>
    <t>243860200254686020100100270006203244</t>
  </si>
  <si>
    <t>243860200254686020100100280002823244</t>
  </si>
  <si>
    <t>243860200254686020100100290002823244</t>
  </si>
  <si>
    <t>243860200254686020100100310002620244</t>
  </si>
  <si>
    <t>Итого предусмотрено на осуществление закупок на второй год планового периода по МКУ "УИТС г.Сургута":</t>
  </si>
  <si>
    <t>МБУ СП СШОР "Югория" им. А.А. Пилояна</t>
  </si>
  <si>
    <t>223860200245886020100100190008690244</t>
  </si>
  <si>
    <t>Оказание услуг проведения медицинского осмотра по программе углубленного медицинского обследования (УМО) лиц, занимающихся спортом в 2022 году</t>
  </si>
  <si>
    <t>223860200245886020100100180008010244</t>
  </si>
  <si>
    <t xml:space="preserve">Оказание охранных услуг в 2023 году </t>
  </si>
  <si>
    <t>223860200245886020100100170008121244</t>
  </si>
  <si>
    <t>Итого предусмотрено на осуществление закупок в текущем году по МБУ СП СШОР "Югория" им. А.А. Пилояна:</t>
  </si>
  <si>
    <t xml:space="preserve">233860220023486020100100020006202244
</t>
  </si>
  <si>
    <t>2238602003204860201001 00240004311244</t>
  </si>
  <si>
    <t>2238602003204860201001 00300007112414</t>
  </si>
  <si>
    <t xml:space="preserve">223860200313086020100100040004329244
</t>
  </si>
  <si>
    <t>223860200313086020100100050007111244</t>
  </si>
  <si>
    <t>223860200313086020100100060007111244</t>
  </si>
  <si>
    <t>223860200320486020100100220004311244</t>
  </si>
  <si>
    <t>223860200320486020100100230004311244</t>
  </si>
  <si>
    <t>223860200320486020100100290007112414</t>
  </si>
  <si>
    <t>223860200320486020100100260007112244</t>
  </si>
  <si>
    <t>223860200320486020100100190007112414</t>
  </si>
  <si>
    <t>223860200320486020100100050004299244</t>
  </si>
  <si>
    <t>223860200320486020100100060004299244</t>
  </si>
  <si>
    <t>223860200320486020100100170004299244</t>
  </si>
  <si>
    <t>223860200320486020100100250004299244</t>
  </si>
  <si>
    <t>22386020032048602010010028000 221414</t>
  </si>
  <si>
    <t>223860200320486020100100340007112414</t>
  </si>
  <si>
    <t>223860200320486020100100330007112414</t>
  </si>
  <si>
    <t>2286020032048602010010020 0004299244</t>
  </si>
  <si>
    <t>223860200320486020100100310004221414</t>
  </si>
  <si>
    <t>223860200320486020100100210004211414</t>
  </si>
  <si>
    <t>223860200320486020100100270004221414</t>
  </si>
  <si>
    <t>223860200320486020100100110008010244</t>
  </si>
  <si>
    <t>223860200320486020100100080004520244</t>
  </si>
  <si>
    <t>22386020032048602010010070004932244</t>
  </si>
  <si>
    <t>223860200320486020100100100008010244</t>
  </si>
  <si>
    <t>223860200320486020100100120002620244</t>
  </si>
  <si>
    <t>223860200320486020100100090002823244</t>
  </si>
  <si>
    <t>233860200320486020100100070008010244</t>
  </si>
  <si>
    <t>233860200320486020100100030004520244</t>
  </si>
  <si>
    <t>233860200320486020100100020004932244</t>
  </si>
  <si>
    <t>233860200320486020100100060008010244</t>
  </si>
  <si>
    <t>233860200320486020100100080002620244</t>
  </si>
  <si>
    <t>233860200320486020100100050002823244</t>
  </si>
  <si>
    <t>233860200320486020100100040004520244</t>
  </si>
  <si>
    <t>243860200320486020100100020004520244</t>
  </si>
  <si>
    <t>243860200320486020100100040002620244</t>
  </si>
  <si>
    <t>243860200320486020100100030002823244</t>
  </si>
  <si>
    <t>179</t>
  </si>
  <si>
    <t>180</t>
  </si>
  <si>
    <t>181</t>
  </si>
  <si>
    <t>182</t>
  </si>
  <si>
    <t>183</t>
  </si>
  <si>
    <t>273</t>
  </si>
  <si>
    <t>274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</si>
  <si>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</si>
  <si>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</si>
  <si>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</si>
  <si>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</si>
  <si>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</si>
  <si>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</si>
  <si>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</si>
  <si>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</si>
  <si>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</si>
  <si>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</si>
  <si>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</si>
  <si>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</si>
  <si>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</si>
  <si>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</si>
  <si>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</si>
  <si>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</si>
  <si>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</si>
  <si>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</si>
  <si>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</si>
  <si>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</si>
  <si>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</si>
  <si>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</si>
  <si>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</si>
  <si>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</si>
  <si>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</si>
  <si>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</si>
  <si>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</si>
  <si>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</si>
  <si>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</si>
  <si>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</si>
  <si>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</si>
  <si>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</si>
  <si>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</si>
  <si>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</si>
  <si>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</si>
  <si>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</si>
  <si>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</si>
  <si>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</si>
  <si>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</si>
  <si>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</si>
  <si>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</si>
  <si>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</si>
  <si>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</si>
  <si>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</si>
  <si>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</si>
  <si>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</si>
  <si>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</si>
  <si>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</si>
  <si>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</si>
  <si>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</si>
  <si>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</si>
  <si>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</si>
  <si>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</si>
  <si>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</si>
  <si>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</si>
  <si>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</si>
  <si>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</si>
  <si>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</si>
  <si>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</si>
  <si>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</si>
  <si>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</si>
  <si>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</si>
  <si>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</si>
  <si>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</si>
  <si>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</si>
  <si>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</si>
  <si>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</si>
  <si>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</si>
  <si>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</si>
  <si>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</si>
  <si>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</si>
  <si>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</si>
  <si>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</si>
  <si>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</si>
  <si>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</si>
  <si>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</si>
  <si>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</si>
  <si>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</si>
  <si>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</si>
  <si>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</si>
  <si>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</si>
  <si>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</si>
  <si>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</si>
  <si>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</si>
  <si>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</si>
  <si>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</si>
  <si>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</si>
  <si>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</si>
  <si>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</si>
  <si>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</si>
  <si>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</si>
  <si>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</si>
  <si>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</si>
  <si>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</si>
  <si>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</si>
  <si>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</si>
  <si>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</si>
  <si>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</si>
  <si>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</si>
  <si>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</si>
  <si>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</si>
  <si>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</si>
  <si>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</si>
  <si>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</si>
  <si>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Наименование ГРБС,
 подведомственного учреждения / Наименование публично-правового образования, подведомственного учреждения</t>
  </si>
  <si>
    <t xml:space="preserve">Муниципальное образование городской округ Сургут </t>
  </si>
  <si>
    <r>
      <t>213860200366086020100100290008121244</t>
    </r>
    <r>
      <rPr>
        <sz val="10"/>
        <color theme="0"/>
        <rFont val="Times New Roman"/>
        <family val="1"/>
        <charset val="204"/>
      </rPr>
      <t>.</t>
    </r>
  </si>
  <si>
    <r>
      <t>213860200366086020100100280008010244</t>
    </r>
    <r>
      <rPr>
        <sz val="10"/>
        <color theme="0"/>
        <rFont val="Times New Roman"/>
        <family val="1"/>
        <charset val="204"/>
      </rPr>
      <t>.</t>
    </r>
  </si>
  <si>
    <r>
      <t xml:space="preserve">Выполнение работ по осуществлению деятельности по обращению с животными без владельцев </t>
    </r>
    <r>
      <rPr>
        <sz val="10"/>
        <color theme="0"/>
        <rFont val="Times New Roman"/>
        <family val="1"/>
        <charset val="204"/>
      </rPr>
      <t>(с 01.10.2021 по 30.09.2022)</t>
    </r>
  </si>
  <si>
    <t>223860200306786020100100820004391243</t>
  </si>
  <si>
    <t>Капитальный ремонт кровли и  пожарных лестниц МБДОУ № 74 "Филиппок"</t>
  </si>
  <si>
    <t>223860200306786020100100830007112243</t>
  </si>
  <si>
    <t>Разработка проектной и рабочей документации по объекту: "Капитальный ремонт МБДОУ № 47 "Гусельки"</t>
  </si>
  <si>
    <t>223860200306786020100100840004339244</t>
  </si>
  <si>
    <t>Ремонт чердачного помещения МБДОУ № 14 "Брусничка"</t>
  </si>
  <si>
    <t>223860200306786020100100850004339244</t>
  </si>
  <si>
    <t>223860200306786020100100860007112243</t>
  </si>
  <si>
    <t>Разработка проектной и рабочей документации по объекту: «Капитальный ремонт пищеблока МБДОУ № 4 "Умка»</t>
  </si>
  <si>
    <t>223860200306786020100100870007112243</t>
  </si>
  <si>
    <t>Разработка проектной и рабочей документации по объекту: «Капитальный ремонт кровли перехода  МБДОУ № 14 "Брусничка»</t>
  </si>
  <si>
    <t>223860200306786020100100880007112243</t>
  </si>
  <si>
    <t>Разработка проектной и рабочей документации по объекту: «Капитальный ремонт по переоборудованию помещений в МБДОУ № 40 "Снегурочка»</t>
  </si>
  <si>
    <t>223860200306786020100100890007112243</t>
  </si>
  <si>
    <t>Разработка проектной и рабочей документации по объекту: "Капитальный ремонт крылец и козырьков МБДОУ № 78 "Ивушка"</t>
  </si>
  <si>
    <t>223860200306786020100100900004391243</t>
  </si>
  <si>
    <t>Капитальный ремонт кровли МБОУ СОШ № 18</t>
  </si>
  <si>
    <t>223860200306786020100100910004339243</t>
  </si>
  <si>
    <t>Капитальный ремонт в здании МБОУ НШ № 30</t>
  </si>
  <si>
    <t>223860200306786020100100920004339244</t>
  </si>
  <si>
    <t>Ремонт межпанельных швов МБОУ СОШ № 18</t>
  </si>
  <si>
    <t>223860200306786020100100930004391244</t>
  </si>
  <si>
    <t>Ремонт ограждения кровли МБОУ СОШ № 20</t>
  </si>
  <si>
    <t>223860200306786020100100940004339244</t>
  </si>
  <si>
    <t>Ремонт лестничной клетки МБОУ СОШ № 44</t>
  </si>
  <si>
    <t>223860200306786020100100950007112243</t>
  </si>
  <si>
    <t>Оказание услуг по корректировке проектной и сметной документации по объекту «Капитальный ремонт МАОУ ДО ЦП "Дельфин"</t>
  </si>
  <si>
    <t>223860200306786020100100980007112243</t>
  </si>
  <si>
    <t>Разработка проектной и рабочей документации по объекту: "Капитальный ремонт внутренних помещений, фасада МБУК "ЦБС", Центральная детская библиотека"</t>
  </si>
  <si>
    <t>223860200306786020100101000004339244</t>
  </si>
  <si>
    <t>Ремонт внутренних помещений МБДОУ № 24 «Космос»</t>
  </si>
  <si>
    <t>февраль 2022</t>
  </si>
  <si>
    <t>223860200306786020100101010004339244</t>
  </si>
  <si>
    <t>Выполнение ремонтных работ МБОУ СОШ № 1</t>
  </si>
  <si>
    <t>223860200306786020100101020004339244</t>
  </si>
  <si>
    <t>Выполнение ремонтных работ МБОУ СОШ № 20</t>
  </si>
  <si>
    <t>223860200306786020100101030004391244</t>
  </si>
  <si>
    <t>Ремонт кровельного ограждения МБОУ гимназия «Лаборатория Салахова»</t>
  </si>
  <si>
    <t>223860200306786020100101040007112243</t>
  </si>
  <si>
    <t>Разработка проектной и рабочей документации по объекту: "Капитальный ремонт строения № 12 МБУК ИКЦ "Старый Сургут"</t>
  </si>
  <si>
    <t>223860200306786020100101050007112243</t>
  </si>
  <si>
    <t>Разработка проектной и рабочей документации по объекту: "Капитальный ремонт кровли МАУ "Сургутская филармония"</t>
  </si>
  <si>
    <t>223860200306786020100101060004339244</t>
  </si>
  <si>
    <t>Ремонт внутренних помещений МБУК "ЦБС", Центральная библиотека имени А.С. Пушкина</t>
  </si>
  <si>
    <t>223860200306786020100101070004321244</t>
  </si>
  <si>
    <t>Электромонтажные работы по замене светильников МБУК "Сургутский краеведческий музей"</t>
  </si>
  <si>
    <t>223860200306786020100101080004339244</t>
  </si>
  <si>
    <t>Выполнение ремонтных работ МБУ ИКЦ "Старый Сургут"</t>
  </si>
  <si>
    <t>223860200306786020100101090007112243</t>
  </si>
  <si>
    <t>Разработка проектной и рабочей документации по объекту: "Капитальный ремонт кровли МБУ ЦФП "Надежда"</t>
  </si>
  <si>
    <t>223860200306786020100101100007112243</t>
  </si>
  <si>
    <t>Разработка проектной и рабочей документации по объекту: "Капитальный ремонт спортивной площадки МБУ ЦФП "Надежда"</t>
  </si>
  <si>
    <t>223860200306786020100101110004339244</t>
  </si>
  <si>
    <t>Ремонт помещений МБУ СП СШОР "Кедр"</t>
  </si>
  <si>
    <t>223860200306786020100101120004329244</t>
  </si>
  <si>
    <t>Ремонт ограждений спортивных площадок МБУ ЦФП "Надежда"</t>
  </si>
  <si>
    <t>223860200306786020100101130004329244</t>
  </si>
  <si>
    <t>Ремонт ограждения  МБУ ЦФП "Надежда"</t>
  </si>
  <si>
    <t>223860200306786020100101140004339244</t>
  </si>
  <si>
    <t>Выполнение ремонтных работ МБУ СП СШОР "Югория" имени Арарата Агвановича Пилояна</t>
  </si>
  <si>
    <t>223860200306786020100101150007112243</t>
  </si>
  <si>
    <t>Разработка проектной и рабочей документации по объекту: «Капитальный ремонт кровли МБУ "Вариант»</t>
  </si>
  <si>
    <t>223860200306786020100101160004339244</t>
  </si>
  <si>
    <t>Выполнение ремонтных работ МБУ ЦСП "Сибирский легион"</t>
  </si>
  <si>
    <t>223860200306786020100101170004339244</t>
  </si>
  <si>
    <t>Ремонт внутренних помещений МКУ "Наш город"</t>
  </si>
  <si>
    <t>223860200306786020100101180004339244</t>
  </si>
  <si>
    <t>Выполнение ремонтных работ МКУ "ССЦ"</t>
  </si>
  <si>
    <t>223860200306786020100101190007112243</t>
  </si>
  <si>
    <t>Разработка проектной и рабочей документации по капитальному ремонту узлов учета тепловой энергии</t>
  </si>
  <si>
    <t>223860200306786020100101200003312243</t>
  </si>
  <si>
    <t>Капитальный ремонт узлов учета тепловой энергии объектов социальной сферы</t>
  </si>
  <si>
    <t>223860200306786020100101210004221243</t>
  </si>
  <si>
    <t>Капитальный ремонт наружных сетей тепловодоснабжения МБДОУ  № 22 "Сказка"</t>
  </si>
  <si>
    <t>223860200306786020100101220004321244</t>
  </si>
  <si>
    <t>Текущий ремонт сетей освещения МБОУ СОШ № 46</t>
  </si>
  <si>
    <t>223860200306786020100101260008010244</t>
  </si>
  <si>
    <t>Оказание охранных услуг на 2023 год</t>
  </si>
  <si>
    <t>223860200306786020100101270008121244</t>
  </si>
  <si>
    <t>223860200306786020100101290004932244</t>
  </si>
  <si>
    <t>Оказание автотранспортных услуг на 2023 год (легковой автотранспорт).</t>
  </si>
  <si>
    <t>223860200306786020100101300004939244</t>
  </si>
  <si>
    <t>Оказание автотранспортных услуг на 2023 год (микроавтобусы).</t>
  </si>
  <si>
    <t>223860200306786020100101310004932244</t>
  </si>
  <si>
    <t>Оказание услуг по организации перевозок пассажиров и багажа легковым такси на 2023 год</t>
  </si>
  <si>
    <t>ИТОГО предусмотрено на осуществление закупок в текущем году:</t>
  </si>
  <si>
    <t>233860200306786020100100160004339243</t>
  </si>
  <si>
    <t>Капитальный ремонт пищеблока МБДОУ № 4 "Умка"</t>
  </si>
  <si>
    <t>233860200306786020100100170004391243</t>
  </si>
  <si>
    <t>Капитальный ремонт кровли перехода МБДОУ № 14 "Брусничка"</t>
  </si>
  <si>
    <t>233860200306786020100100190004339243</t>
  </si>
  <si>
    <t>Капитальный ремонт крылец и козырьков МБДОУ № 78 "Ивушка"</t>
  </si>
  <si>
    <t>233860200306786020100100200004339244</t>
  </si>
  <si>
    <t>Ремонт внутренних  помещений МБДОУ № 14 "Брусничка"</t>
  </si>
  <si>
    <t>233860200306786020100100210004339244</t>
  </si>
  <si>
    <t>Ремонт внутренних помещений МБДОУ № 17 "Белочка"</t>
  </si>
  <si>
    <t>233860200306786020100100240004339243</t>
  </si>
  <si>
    <t>Капитальный ремонт МБУ ИКЦ "Старый Сургут"</t>
  </si>
  <si>
    <t>233860200306786020100100270007112243</t>
  </si>
  <si>
    <t>Разработка проектной и рабочей документации по объекту: "Капитальный ремонт кровли МБОУ СОШ № 32"</t>
  </si>
  <si>
    <t>233860200306786020100100310004339244</t>
  </si>
  <si>
    <t>Ремонт внутренних помещений МБУК "ЦБС", библиотека № 3</t>
  </si>
  <si>
    <t>233860200306786020100100320004339244</t>
  </si>
  <si>
    <t>Ремонт внутренних помещений МБУК "ЦБС", библиотека № 30</t>
  </si>
  <si>
    <t>233860200306786020100100330004339244</t>
  </si>
  <si>
    <t>Ремонт покрытия планшета сцены МАУ "Сургутская филармония"</t>
  </si>
  <si>
    <t>233860200306786020100100340004391243</t>
  </si>
  <si>
    <t>Капитальный ремонт кровли МБУ ЦФП "Надежда"</t>
  </si>
  <si>
    <t>233860200306786020100100350004399243</t>
  </si>
  <si>
    <t>Капитальный ремонт спортивной  площадки МБУ ЦФП "Надежда"</t>
  </si>
  <si>
    <t>233860200306786020100100360004391243</t>
  </si>
  <si>
    <t>Капитальный ремонт кровли МБУ "Вариант"</t>
  </si>
  <si>
    <t>233860200306786020100100370007112243</t>
  </si>
  <si>
    <t>февраль 2023</t>
  </si>
  <si>
    <t>233860200306786020100100500004339243</t>
  </si>
  <si>
    <t>Капитальный ремонт по переоборудованию помещений в МБДОУ № 40 "Снегурочка"</t>
  </si>
  <si>
    <t>233860200306786020100100380004221243</t>
  </si>
  <si>
    <t>Капитальный ремонт наружных сетей тепловодоснабжения МБУК "Сургутский краеведческий музей", Музейный центр</t>
  </si>
  <si>
    <t>233860200306786020100100420008010244</t>
  </si>
  <si>
    <t>Оказание охранных услуг на 2024 год</t>
  </si>
  <si>
    <t>233860200306786020100100430008121244</t>
  </si>
  <si>
    <t>233860200306786020100100450004932244</t>
  </si>
  <si>
    <t>Оказание автотранспортных услуг на 2024 год (легковой автотранспорт).</t>
  </si>
  <si>
    <t>233860200306786020100100460004939244</t>
  </si>
  <si>
    <t>Оказание автотранспортных услуг на 2024 год (микроавтобусы).</t>
  </si>
  <si>
    <t>233860200306786020100100470004932244</t>
  </si>
  <si>
    <t>Оказание услуг по организации перевозок пассажиров и багажа легковым такси на 2024 год</t>
  </si>
  <si>
    <t>ИТОГО предусмотрено на осуществление закупок на первый год планового периода:</t>
  </si>
  <si>
    <t>243860200306786020100100080004321244</t>
  </si>
  <si>
    <t>Ремонт чердачного помещения МБДОУ № 56 "Искорка"</t>
  </si>
  <si>
    <t>243860200306786020100100090004399243</t>
  </si>
  <si>
    <t>Капитальный ремонт кровли МБОУ СОШ № 32</t>
  </si>
  <si>
    <t>243860200306786020100100100004339244</t>
  </si>
  <si>
    <t>Капитальный ремонт здания МБУК "Сургутский краеведческий музей", Дом Г.С. Клепикова</t>
  </si>
  <si>
    <t>243860200306786020100100120004339244</t>
  </si>
  <si>
    <t>Электромонтажные работы по замене светильников МБУК "ЦБС", Центральная библиотека имени А.С. Пушкина</t>
  </si>
  <si>
    <t>243860200306786020100100130004391243</t>
  </si>
  <si>
    <t>Ремонт внутренних помещений МБУ ДО "ДШИ" им. Г.Кукуевицкого</t>
  </si>
  <si>
    <t>243860200306786020100100140004339244</t>
  </si>
  <si>
    <t>Электромонтажные работы по замене световых приборов МБУ ДО "ДШИ" им. Г.Кукуевицкого</t>
  </si>
  <si>
    <t>243860200306786020100100160004339244</t>
  </si>
  <si>
    <t>243860200306786020100100170004339244</t>
  </si>
  <si>
    <t>243860200306786020100100180004221243</t>
  </si>
  <si>
    <t>Выполнение ремонтных работ МБУ СП СШ "Аверс"</t>
  </si>
  <si>
    <t>243860200306786020100100190007120243</t>
  </si>
  <si>
    <t>243860200306786020100100200007120243</t>
  </si>
  <si>
    <t>Ремонт внутренних помещений МКУ "Вариант"</t>
  </si>
  <si>
    <t>223860200306786020100101320000000244</t>
  </si>
  <si>
    <t>июль 2024</t>
  </si>
  <si>
    <t>223860200306786020100101330000000243</t>
  </si>
  <si>
    <t>233860200306786020100100480000000244</t>
  </si>
  <si>
    <t>ИТОГО предусмотрено на осуществление закупок на второй год планового периода: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</si>
  <si>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</si>
  <si>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</si>
  <si>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</si>
  <si>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</si>
  <si>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</si>
  <si>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</si>
  <si>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</si>
  <si>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</si>
  <si>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</si>
  <si>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</si>
  <si>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</si>
  <si>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</si>
  <si>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</si>
  <si>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</si>
  <si>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</si>
  <si>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</si>
  <si>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</si>
  <si>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</si>
  <si>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</si>
  <si>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</si>
  <si>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</si>
  <si>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</si>
  <si>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</si>
  <si>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</si>
  <si>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</si>
  <si>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</si>
  <si>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</si>
  <si>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</si>
  <si>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</si>
  <si>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</si>
  <si>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</si>
  <si>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</si>
  <si>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</si>
  <si>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</si>
  <si>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</si>
  <si>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</si>
  <si>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</si>
  <si>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</si>
  <si>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</si>
  <si>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</si>
  <si>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</si>
  <si>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</si>
  <si>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</si>
  <si>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</si>
  <si>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</si>
  <si>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</si>
  <si>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</si>
  <si>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</si>
  <si>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</si>
  <si>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</si>
  <si>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</si>
  <si>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</si>
  <si>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</si>
  <si>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</si>
  <si>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</si>
  <si>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</si>
  <si>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</si>
  <si>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</si>
  <si>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</si>
  <si>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</si>
  <si>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</si>
  <si>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</si>
  <si>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</si>
  <si>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</si>
  <si>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</si>
  <si>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</si>
  <si>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</si>
  <si>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</si>
  <si>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</si>
  <si>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</si>
  <si>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</si>
  <si>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</si>
  <si>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223860230382586020100100130008010244</t>
  </si>
  <si>
    <t>Оказание услуг по охране муниципального имущества</t>
  </si>
  <si>
    <t>223860230382586020100100090006831244</t>
  </si>
  <si>
    <t>Оказание услуг по оценке муниципального имущества</t>
  </si>
  <si>
    <t>223860230382586020100100120006832244</t>
  </si>
  <si>
    <t>Проведение кадастровых работ по изготовлению технической документации на объекты недвижимого имущества</t>
  </si>
  <si>
    <t>ИТОГО предусмотрено на осуществление закупок в текущем году</t>
  </si>
  <si>
    <t>233860230382586020100100140008010244</t>
  </si>
  <si>
    <t>233860230382586020100100100006831244</t>
  </si>
  <si>
    <t>июль 2023</t>
  </si>
  <si>
    <t>ИТОГО предусмотрено на осуществление закупок на первый год планого периода</t>
  </si>
  <si>
    <t>243860230382586020100100140008010244</t>
  </si>
  <si>
    <t>243860230382586020100100110006831244</t>
  </si>
  <si>
    <t>ИТОГО предусмотрено на осуществление закупок на второй год планого периода</t>
  </si>
  <si>
    <t xml:space="preserve">Департамент имущественных и земельных отношений </t>
  </si>
  <si>
    <t>МКУ " Дирекция эксплуатации административных зданий и инженерных систем"</t>
  </si>
  <si>
    <t>22 38602002923860201001 0075 000 6832 244</t>
  </si>
  <si>
    <t>Оказание услуг по изготовлению актов обследования, подтверждающих прекращение существования объектов недвижимости</t>
  </si>
  <si>
    <t>22 38602002923860201001 0090 000 7120 244</t>
  </si>
  <si>
    <t>Оказание услуг по обследованию жилого дома на предмет признания его аварийным, а также жилых помещений непригодных для проживания</t>
  </si>
  <si>
    <t>22 38602002923860201001 0076 000 6832 244</t>
  </si>
  <si>
    <t>Оказание услуг по изготовлению технической документации на муниципальные жилые помещения</t>
  </si>
  <si>
    <t>22 38602002923860201001 0087 000 7112 244</t>
  </si>
  <si>
    <t>Изготовление пректно - сметной документации по устройству детско-подростковой площадки "Черный мыс"</t>
  </si>
  <si>
    <t>22 38602002923860201001 0093 000 1712 244</t>
  </si>
  <si>
    <t>22 38602002923860201001 0077 000 6832 244</t>
  </si>
  <si>
    <t>Оказание услуг по изготовлению технической документации на объекты энергохозяйства</t>
  </si>
  <si>
    <t>22 38602002923860201001 0079 000 8129 244</t>
  </si>
  <si>
    <t>Оказание услуг по дезинсекция, дератизации и дезинфекции мест (площадок) накопления ТКО</t>
  </si>
  <si>
    <t>22 38602002923860201001 0085 000 7112 244</t>
  </si>
  <si>
    <t>Изготовление пректно - сметной документации по устройству спортивной площадки "Черный мыс"</t>
  </si>
  <si>
    <t>22 38602002923860201001 0082 000 4339 244</t>
  </si>
  <si>
    <t>Оказание услуг по ремонту пожарных водоемов</t>
  </si>
  <si>
    <t>22 38602002923860201001 0089 000 4311 244</t>
  </si>
  <si>
    <t>Снос строений приспособленных для проживания</t>
  </si>
  <si>
    <t>22 38602002923860201001 0100 000 4311 244</t>
  </si>
  <si>
    <t>Снос домов, подлежащих выводу из эксплуатации с последующим демонтажем строительных конструкций, в связи с переселением из них граждан</t>
  </si>
  <si>
    <t>22 38602002923860201001 0098 000 4311 244</t>
  </si>
  <si>
    <t xml:space="preserve">Снос домов, подлежащих выводу из эксплуатации с последующим демонтажем строительных конструкций, в связи с переселением граждан </t>
  </si>
  <si>
    <t>22 38602002923860201001 0101 000 4311 244</t>
  </si>
  <si>
    <t>Снос домов, подлежащих выводу из эксплуатации с последующим демонтажем строительных конструкций, в связи с переселением граждан</t>
  </si>
  <si>
    <t>22 38602002923860201001 0096 000 4311 244</t>
  </si>
  <si>
    <t>Снос строений, приспособленных для проживания, и домов, непригодных для проживания</t>
  </si>
  <si>
    <t>22 38602002923860201001 0102 000 4311 244</t>
  </si>
  <si>
    <t>22 38602002923860201001 0091 000 4311 244</t>
  </si>
  <si>
    <t>22 38602002923860201001 0070 000 4339 244</t>
  </si>
  <si>
    <t>Выполнение работ по ремонту муниципальных жилых помещений, предназначенных для повторного предоставления гражданам по договорам найма муниципального жилого помещения</t>
  </si>
  <si>
    <t>22 38602002923860201001 0070 001 4339 244</t>
  </si>
  <si>
    <t>22 38602002923860201001 0070 002 4339 244</t>
  </si>
  <si>
    <t>22 38602002923860201001 0097 000 4311 244</t>
  </si>
  <si>
    <t>22 38602002923860201001 0103 000 4311 244</t>
  </si>
  <si>
    <t>22 38602002923860201001 0086 000 4299 244</t>
  </si>
  <si>
    <t>Работы по устройству спортивной площадки "Черный мыс"</t>
  </si>
  <si>
    <t>22 38602002923860201001 0088 000 4299 244</t>
  </si>
  <si>
    <t>Работы по устройству детско-подростковый площадки "Черный мыс"</t>
  </si>
  <si>
    <t xml:space="preserve">Итого предусмотрено на осуществление закупок  в текущем году </t>
  </si>
  <si>
    <t>22 38602002923860201001 0062 000 3312 244</t>
  </si>
  <si>
    <t>Оказание услуг по техническому обслуживанию автоматического шлагбаума</t>
  </si>
  <si>
    <t>11.2022</t>
  </si>
  <si>
    <t>22 38602002923860201001 0061 000 3312 244</t>
  </si>
  <si>
    <t>23 38602002923860201001 0037 000 7112 244</t>
  </si>
  <si>
    <t>Проектные работы по сносу домов</t>
  </si>
  <si>
    <t>03.2023</t>
  </si>
  <si>
    <t>22 38602002923860201001 0060 000 3312 244</t>
  </si>
  <si>
    <t>Оказание услуг по техническому обслуживанию узла учета тепловой энергии</t>
  </si>
  <si>
    <t>22 38602002923860201001 0058 000 3314 244</t>
  </si>
  <si>
    <t>Техническое обслуживание электрооборудования</t>
  </si>
  <si>
    <t>23 38602002923860201001 0038 000 1712 244</t>
  </si>
  <si>
    <t>04.2023</t>
  </si>
  <si>
    <t>22 38602002923860201001 0059 000 3312 244</t>
  </si>
  <si>
    <t>Техническое обслуживание внутренних систем отопления, канализации, горячего и холодного водоснабжения, сантехнического оборудования</t>
  </si>
  <si>
    <t>22 38602002923860201001 0055 000 8121 244</t>
  </si>
  <si>
    <t>23 38602002923860201001 0028 000 6832 244</t>
  </si>
  <si>
    <t>02.2023</t>
  </si>
  <si>
    <t>22 38602002923860201001 0084 000 8121 244</t>
  </si>
  <si>
    <t>Оказание услуг по зимней механизированной уборке территории пожарных водоемов</t>
  </si>
  <si>
    <t>22 38602002923860201001 0057 000 8129 244</t>
  </si>
  <si>
    <t>Оказание услуг по уборке территории, прилегающей к административному зданию</t>
  </si>
  <si>
    <t>22 38602002923860201001 0080 000 8129 244</t>
  </si>
  <si>
    <t>Оказание услуг по содержанию детских игровых и спортивных площадок</t>
  </si>
  <si>
    <t>22 38602002923860201001 0083 000 8425 244</t>
  </si>
  <si>
    <t>Оказание услуг по содержанию пожарных водоемов</t>
  </si>
  <si>
    <t>23 38602002923860201001 0030 000 8129 244</t>
  </si>
  <si>
    <t>23 38602002923860201001 0033 000 4339 244</t>
  </si>
  <si>
    <t>22 38602002923860201001 0056 000 8121 244</t>
  </si>
  <si>
    <t>23 38602002923860201001 0024 000 4339 244</t>
  </si>
  <si>
    <t>22 38602002923860201001 0069 000 8010 244</t>
  </si>
  <si>
    <t>22 38602002923860201001 0081 000 8110 244</t>
  </si>
  <si>
    <t>Оказание услуг по комплексному обслуживанию модульного туалета</t>
  </si>
  <si>
    <t>22 38602002923860201001 0078 000 8129 244</t>
  </si>
  <si>
    <t>Оказание услуг по содержанию мест (площадок) накопления твердых коммунальных отходов муниципального образования городской округ Сургут Ханты-Мансийского автономного округа - Югры</t>
  </si>
  <si>
    <t>22 38602002923860201001 0063 000 4932 244</t>
  </si>
  <si>
    <t>23 38602002923860201001 0036 000 4311 244</t>
  </si>
  <si>
    <t>Снос домов непригодных для проживания</t>
  </si>
  <si>
    <t>23 38602002923860201001 0015 000 3312 244</t>
  </si>
  <si>
    <t>11.2023</t>
  </si>
  <si>
    <t>23 38602002923860201001 0014 000 3312 244</t>
  </si>
  <si>
    <t>23 38602002923860201001 0013 000 3312 244</t>
  </si>
  <si>
    <t>23 38602002923860201001 0011 000 3314 244</t>
  </si>
  <si>
    <t>24 38602002923860201001 0007 000 1712 244</t>
  </si>
  <si>
    <t>03.2024</t>
  </si>
  <si>
    <t>23 38602002923860201001 0012 000 3312 244</t>
  </si>
  <si>
    <t>23 38602002923860201001 0008 000 8121 244</t>
  </si>
  <si>
    <t>24 38602002923860201001 0003 000 6832 244</t>
  </si>
  <si>
    <t>02.2024</t>
  </si>
  <si>
    <t>23 38602002923860201001 0035 000 8121 244</t>
  </si>
  <si>
    <t>23 38602002923860201001 0010 000 8129 244</t>
  </si>
  <si>
    <t>23 38602002923860201001 0031 000 8129 244</t>
  </si>
  <si>
    <t>23 38602002923860201001 0034 000 8425 244</t>
  </si>
  <si>
    <t>24 38602002923860201001 0004 000 8129 244</t>
  </si>
  <si>
    <t>23 38602002923860201001 0009 000 8121 244</t>
  </si>
  <si>
    <t>24 38602002923860201001 0005 000 4339 244</t>
  </si>
  <si>
    <t>23 38602002923860201001 0023 000 8010 244</t>
  </si>
  <si>
    <t>23 38602002923860201001 0032 000 8110 244</t>
  </si>
  <si>
    <t>23 38602002923860201001 0029 000 8129 244</t>
  </si>
  <si>
    <t>23 38602002923860201001 0016 000 4932 244</t>
  </si>
  <si>
    <t>24 38602002923860201001 0006 000 4311 244</t>
  </si>
  <si>
    <t>04.2024</t>
  </si>
  <si>
    <t xml:space="preserve">
МКУ "Казна городского хозяйства"</t>
  </si>
  <si>
    <t>МКУ "Казна городского хозяйства"</t>
  </si>
  <si>
    <t>1754</t>
  </si>
  <si>
    <t>1755</t>
  </si>
  <si>
    <t>1756</t>
  </si>
  <si>
    <t>1757</t>
  </si>
  <si>
    <t>1758</t>
  </si>
  <si>
    <t>1759</t>
  </si>
  <si>
    <t>Контрольно-счетная палата города Сургута</t>
  </si>
  <si>
    <t>223860202735786020100100020007112244</t>
  </si>
  <si>
    <t>Услуги геологические и геофизические консультативные</t>
  </si>
  <si>
    <t xml:space="preserve">Электронный запрос котировок
</t>
  </si>
  <si>
    <t>233860202735786020100100020007112244</t>
  </si>
  <si>
    <t>243860202735786020100100020007112244</t>
  </si>
  <si>
    <t xml:space="preserve">Итого предусмотрено на осуществление закупок на первый год планового периода </t>
  </si>
  <si>
    <t xml:space="preserve">Итого предусмотрено на осуществление закупок на второй год планового периода </t>
  </si>
  <si>
    <t>ДУМА ГОРОДА СУРГУТА</t>
  </si>
  <si>
    <t>223860201128386020100100560005819244</t>
  </si>
  <si>
    <t>Оказание услуг по изготовлению и поставке сувенирной продукции (наградная атрибутика)</t>
  </si>
  <si>
    <t xml:space="preserve">сентябрь 2022 </t>
  </si>
  <si>
    <t>223860201128386020100100570005819244</t>
  </si>
  <si>
    <t>Оказание услуг по изготовлению и поставке сувенирной продукции (открытки с вкладышем и конвертом)</t>
  </si>
  <si>
    <t xml:space="preserve">март 2022 </t>
  </si>
  <si>
    <t>223860201128386020100100580001512244</t>
  </si>
  <si>
    <t>Оказание услуг по изготовлению и поставке сувенирной продукции (папки из кожи для памятных адресов)</t>
  </si>
  <si>
    <t>223860201128386020100100590005819244</t>
  </si>
  <si>
    <t>Оказание услуг по изготовлению и поставке сувенирной продукции (памятный адрес)</t>
  </si>
  <si>
    <t>223860201128386020100100600001723244</t>
  </si>
  <si>
    <t>Оказание услуг по изготовлению и поставке наборов сувенирной продукции (ежедневник, планинг)</t>
  </si>
  <si>
    <t>223860201128386020100100610005819244</t>
  </si>
  <si>
    <t>Оказание услуг по изготовлению и поставке сувенирной продукции (календари с гербом города Сургута и надписью "Дума города Сургута")</t>
  </si>
  <si>
    <t>223860201128386020100100620001629244</t>
  </si>
  <si>
    <t>Оказание услуг по изготовлению и поставке сувенирной продукции (рамки для благодарственных писем Думы города, благодарностей Председателя Думы города)</t>
  </si>
  <si>
    <t xml:space="preserve">октябрь 2022 </t>
  </si>
  <si>
    <t>223860201128386020100100630000119244</t>
  </si>
  <si>
    <t>Изготовление и поставка цветочных композиций в 2023 году</t>
  </si>
  <si>
    <t xml:space="preserve"> ноябрь 2022 </t>
  </si>
  <si>
    <t>223860201128386020100100640005621244</t>
  </si>
  <si>
    <t>Оказание услуг по организации буфетного обслуживания (фуршет) (заседание совета 4-х Дум)</t>
  </si>
  <si>
    <t>223860201128386020100100660001721244</t>
  </si>
  <si>
    <t>Оказание услуг по изготовлению и поставке сувенирной продукции (подарочные пакеты)</t>
  </si>
  <si>
    <t>223860201128386020100100700005819244</t>
  </si>
  <si>
    <t>Оказание услуг по информационному освещению деятельности Думы города Сургута в печатных средствах массовой информации в 2022 году</t>
  </si>
  <si>
    <t>223860201128386020100100710006010244</t>
  </si>
  <si>
    <t>Оказание услуг по информационному обслуживанию Думы города Сургута в электронных средствах массовой информации (радио) в 2022 году</t>
  </si>
  <si>
    <t>223860201128386020100100720006010244</t>
  </si>
  <si>
    <t>223860201128386020100100730006311244</t>
  </si>
  <si>
    <t>Оказание услуг по информационному обслуживанию деятельности Думы города Сургута в Интернете в 2022 году</t>
  </si>
  <si>
    <t>электронный запрос котировок</t>
  </si>
  <si>
    <t>223860201128386020100100740006311244</t>
  </si>
  <si>
    <t>223860201128386020100100770005911244</t>
  </si>
  <si>
    <t>Оказание услуг по информационному обслуживанию Думы города Сургута в электронных средствах массовой информации (телевидение) в 2023 году</t>
  </si>
  <si>
    <t>223860201128386020100100780006311244</t>
  </si>
  <si>
    <t>Оказание услуг по информационному обслуживанию деятельности Думы города Сургута в Интернете в 2023 году</t>
  </si>
  <si>
    <t>223860201128386020100100790006010244</t>
  </si>
  <si>
    <t>Оказание услуг по информационному обслуживанию Думы города Сургута в электронных средствах массовой информации (радио) в 2023 году</t>
  </si>
  <si>
    <t>223860201128386020100100800005819244</t>
  </si>
  <si>
    <t>Оказание услуг по информационному освещению деятельности Думы города Сургута в печатных средствах массовой информации в 2023 году</t>
  </si>
  <si>
    <t>223860201128386020100100810005819244</t>
  </si>
  <si>
    <t>223860201128386020100100820005310244</t>
  </si>
  <si>
    <t>Оказание услуг по подписке и доставке периодических печатных изданий на 2023 год</t>
  </si>
  <si>
    <t>223860201128386020100100840005911244</t>
  </si>
  <si>
    <t>233860201128386020100100180005819244</t>
  </si>
  <si>
    <t>233860201128386020100100190006010244</t>
  </si>
  <si>
    <t>233860201128386020100100200006010244</t>
  </si>
  <si>
    <t>233860201128386020100100210006311244</t>
  </si>
  <si>
    <t>233860201128386020100100220006311244</t>
  </si>
  <si>
    <t>2023</t>
  </si>
  <si>
    <t>233860201128386020100100230005621244</t>
  </si>
  <si>
    <t>233860201128386020100100240005819244</t>
  </si>
  <si>
    <t xml:space="preserve">март 2023 </t>
  </si>
  <si>
    <t>233860201128386020100100250005819244</t>
  </si>
  <si>
    <t xml:space="preserve">сентябрь 2023 </t>
  </si>
  <si>
    <t>233860201128386020100100260001723244</t>
  </si>
  <si>
    <t>233860201128386020100100270001512244</t>
  </si>
  <si>
    <t>233860201128386020100100280005819244</t>
  </si>
  <si>
    <t>233860201128386020100100290001721244</t>
  </si>
  <si>
    <t>233860201128386020100100300005819244</t>
  </si>
  <si>
    <t>Оказание услуг по изготовлению и поставке сувенирной продукции (календари)</t>
  </si>
  <si>
    <t>233860201128386020100100310001629244</t>
  </si>
  <si>
    <t>233860201128386020100100330005911244</t>
  </si>
  <si>
    <t>Оказание услуг по информационному обслуживанию Думы города Сургута в электронных средствах массовой информации (телевидение) в 2024 году</t>
  </si>
  <si>
    <t>233860201128386020100100340006311244</t>
  </si>
  <si>
    <t>Оказание услуг по информационному обслуживанию деятельности Думы города Сургута в Интернете в 2024 году</t>
  </si>
  <si>
    <t>233860201128386020100100350005819244</t>
  </si>
  <si>
    <t>Оказание услуг по информационному освещению деятельности Думы города Сургута в печатных средствах массовой информации в 2024 году</t>
  </si>
  <si>
    <t>октябрь  2023</t>
  </si>
  <si>
    <t>233860201128386020100100360006010244</t>
  </si>
  <si>
    <t>Оказание услуг по информационному обслуживанию Думы города Сургута в электронных средствах массовой информации (радио) в 2024 году</t>
  </si>
  <si>
    <t>233860201128386020100100370000119244</t>
  </si>
  <si>
    <t>Изготовление и поставка цветочных композиций в 2024 году</t>
  </si>
  <si>
    <t>233860201128386020100100380005911244</t>
  </si>
  <si>
    <t>233860201128386020100100390005819244</t>
  </si>
  <si>
    <t>233860201128386020100100400005310244</t>
  </si>
  <si>
    <t>Оказание услуг по подписке и доставке периодических печатных изданий на 2024 год</t>
  </si>
  <si>
    <t>243860201128386020100100020006311244</t>
  </si>
  <si>
    <t>февраль 2024</t>
  </si>
  <si>
    <t>243860201128386020100100030006311244</t>
  </si>
  <si>
    <t>243860201128386020100100040005819244</t>
  </si>
  <si>
    <t>243860201128386020100100050006010244</t>
  </si>
  <si>
    <t>243860201128386020100100060006010244</t>
  </si>
  <si>
    <t>243860201128386020100100070001629244</t>
  </si>
  <si>
    <t xml:space="preserve">сентябрь 2024 </t>
  </si>
  <si>
    <t>243860201128386020100100080005819244</t>
  </si>
  <si>
    <t>243860201128386020100100090001512244</t>
  </si>
  <si>
    <t>243860201128386020100100100001721244</t>
  </si>
  <si>
    <t>243860201128386020100100110005819244</t>
  </si>
  <si>
    <t>243860201128386020100100120005819244</t>
  </si>
  <si>
    <t xml:space="preserve">март 2024 </t>
  </si>
  <si>
    <t>243860201128386020100100130001723244</t>
  </si>
  <si>
    <t>243860201128386020100100140005819244</t>
  </si>
  <si>
    <t>243860201128386020100100150005621244</t>
  </si>
  <si>
    <t xml:space="preserve">октябрь 2024 </t>
  </si>
  <si>
    <t>Итого предусмотрено на существление закупок в текущем году,</t>
  </si>
  <si>
    <t>Итого предусмотрено на существление закупок на первый год планового периода</t>
  </si>
  <si>
    <t>Итого предусмотрено на существление закупок на второйгод планового периода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</si>
  <si>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</si>
  <si>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</si>
  <si>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</si>
  <si>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</si>
  <si>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</si>
  <si>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</si>
  <si>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</si>
  <si>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</si>
  <si>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</si>
  <si>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</si>
  <si>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</si>
  <si>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</si>
  <si>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</si>
  <si>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</si>
  <si>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</si>
  <si>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</si>
  <si>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</si>
  <si>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</si>
  <si>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</si>
  <si>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</si>
  <si>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</si>
  <si>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</si>
  <si>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</si>
  <si>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</si>
  <si>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</si>
  <si>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</si>
  <si>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</si>
  <si>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</si>
  <si>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</si>
  <si>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</si>
  <si>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</si>
  <si>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</si>
  <si>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</si>
  <si>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</si>
  <si>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</si>
  <si>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</si>
  <si>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</si>
  <si>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</si>
  <si>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</si>
  <si>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</si>
  <si>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</si>
  <si>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</si>
  <si>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</si>
  <si>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</si>
  <si>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</si>
  <si>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</si>
  <si>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</si>
  <si>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</si>
  <si>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</si>
  <si>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</si>
  <si>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</si>
  <si>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</si>
  <si>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</si>
  <si>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</si>
  <si>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СГМУП "Горводоканал"</t>
  </si>
  <si>
    <t>223860201672586020100100010004221000</t>
  </si>
  <si>
    <t>Выполнение капитального ремонта объекта: Водовод от 8 пром/узла до ВК-25 ул. 50 лет ВЛКСМ. Участок от ВК (Нефтеюганское шоссе) до ВК (ул. Маяковского, д. 42)</t>
  </si>
  <si>
    <t>март  2022</t>
  </si>
  <si>
    <t>СГМУП "ДорРемТех"</t>
  </si>
  <si>
    <t>2238602001286020100100010016920000</t>
  </si>
  <si>
    <t xml:space="preserve">Оказание услуг по аудиту годовой бухгалтерской (финансовой) отчетности </t>
  </si>
  <si>
    <t>СГМУП «СКЦ Природа»</t>
  </si>
  <si>
    <t xml:space="preserve">Проведение обязательного аудита годовой бухгалтерской (финансовой) отчетности за 2022 год </t>
  </si>
  <si>
    <t>2338602001286020100100010016920000</t>
  </si>
  <si>
    <t>Итого предусмотрено на осуществление закупок на первый год планового периода по</t>
  </si>
  <si>
    <t>Итого предусмотрено на осуществление закупок на второй  год планового периода по</t>
  </si>
  <si>
    <t>1879</t>
  </si>
  <si>
    <t>1880</t>
  </si>
  <si>
    <t>1881</t>
  </si>
  <si>
    <t>1882</t>
  </si>
  <si>
    <t>МКУ "Единая диспетчерская служба города Сургута"</t>
  </si>
  <si>
    <t>МКУ "Дирекция дорожно-транспортного и жилищно-коммунального комплекса"</t>
  </si>
  <si>
    <t>Итого предусмотрено на осуществление закупок в текущем году по МКУ "Дирекция дорожно-транспортного и жилищно-коммунального комплекса":</t>
  </si>
  <si>
    <t>Итого предусмотрено на осуществление закупок на первый год планового периода по МКУ "Дирекция дорожно-транспортного и жилищно-коммунального комплекса":</t>
  </si>
  <si>
    <t>Итого предусмотрено на осуществление закупок на второй  год планового периода по МКУ "Дирекция дорожно-транспортного и жилищно-коммунального комплекса":</t>
  </si>
  <si>
    <t>МКУ "Центр организационного обеспечения деятельности  муниципальных организаций"</t>
  </si>
  <si>
    <t>Итого предусмотрено на осуществление закупок в текущем году по МКУ "Центр организационного обеспечения деятельности  муниципальных организаций":</t>
  </si>
  <si>
    <t>Итого предусмотрено на осуществление закупок на первый год планового периода по МКУ "Центр организационного обеспечения деятельности  муниципальных организаций":</t>
  </si>
  <si>
    <t>МКУ "Управление информационных технологий и связи города Сургута"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</si>
</sst>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-;\-* #,##0.00_-;_-* &quot;-&quot;??_-;_-@_-"/>
    <numFmt numFmtId="165" formatCode="?"/>
    <numFmt numFmtId="166" formatCode="[$-419]mmmm\ yyyy;@"/>
    <numFmt numFmtId="167" formatCode="_-* #,##0\ _₽_-;\-* #,##0\ _₽_-;_-* &quot;-&quot;??\ _₽_-;_-@_-"/>
    <numFmt numFmtId="168" formatCode="#,##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b/>
      <sz val="10"/>
      <color rgb="FF000000"/>
      <name val="Times New Roman"/>
      <family val="2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Times New Roman"/>
      <family val="2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2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/>
  </cellStyleXfs>
  <cellXfs count="27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43" fontId="4" fillId="0" borderId="0" xfId="0" applyNumberFormat="1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43" fontId="1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13" fillId="0" borderId="1" xfId="1" applyNumberFormat="1" applyFont="1" applyFill="1" applyBorder="1" applyAlignment="1">
      <alignment horizontal="left" vertical="center" wrapText="1"/>
    </xf>
    <xf numFmtId="43" fontId="13" fillId="0" borderId="1" xfId="1" applyNumberFormat="1" applyFont="1" applyFill="1" applyBorder="1" applyAlignment="1">
      <alignment horizontal="center" vertical="center" wrapText="1"/>
    </xf>
    <xf numFmtId="43" fontId="12" fillId="0" borderId="1" xfId="1" applyNumberFormat="1" applyFont="1" applyFill="1" applyBorder="1" applyAlignment="1" applyProtection="1">
      <alignment horizontal="center" vertical="center" wrapText="1"/>
    </xf>
    <xf numFmtId="43" fontId="12" fillId="0" borderId="1" xfId="1" applyNumberFormat="1" applyFont="1" applyFill="1" applyBorder="1" applyAlignment="1" applyProtection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3" fontId="12" fillId="0" borderId="1" xfId="0" applyNumberFormat="1" applyFont="1" applyFill="1" applyBorder="1" applyAlignment="1" applyProtection="1">
      <alignment horizontal="center" vertical="center" wrapText="1"/>
    </xf>
    <xf numFmtId="43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2" applyNumberFormat="1" applyFont="1" applyFill="1" applyBorder="1" applyAlignment="1">
      <alignment horizontal="left" vertical="center" wrapText="1"/>
    </xf>
    <xf numFmtId="43" fontId="11" fillId="0" borderId="1" xfId="0" applyNumberFormat="1" applyFont="1" applyFill="1" applyBorder="1" applyAlignment="1" applyProtection="1">
      <alignment horizontal="center" vertical="center" wrapText="1"/>
    </xf>
    <xf numFmtId="43" fontId="11" fillId="0" borderId="1" xfId="1" applyNumberFormat="1" applyFont="1" applyFill="1" applyBorder="1" applyAlignment="1">
      <alignment vertical="center" wrapText="1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17" fontId="12" fillId="0" borderId="1" xfId="1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17" fontId="13" fillId="0" borderId="1" xfId="0" applyNumberFormat="1" applyFont="1" applyFill="1" applyBorder="1" applyAlignment="1">
      <alignment horizontal="center" vertical="center" wrapText="1"/>
    </xf>
    <xf numFmtId="17" fontId="11" fillId="0" borderId="1" xfId="0" applyNumberFormat="1" applyFont="1" applyFill="1" applyBorder="1" applyAlignment="1">
      <alignment horizontal="center" vertical="center" wrapText="1"/>
    </xf>
    <xf numFmtId="17" fontId="11" fillId="0" borderId="1" xfId="1" applyNumberFormat="1" applyFont="1" applyFill="1" applyBorder="1" applyAlignment="1">
      <alignment horizontal="center" vertical="center" wrapText="1"/>
    </xf>
    <xf numFmtId="43" fontId="11" fillId="0" borderId="1" xfId="0" applyNumberFormat="1" applyFont="1" applyFill="1" applyBorder="1" applyAlignment="1">
      <alignment horizontal="left" vertical="center" wrapText="1"/>
    </xf>
    <xf numFmtId="17" fontId="11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8" fillId="0" borderId="0" xfId="0" applyFont="1" applyFill="1"/>
    <xf numFmtId="0" fontId="21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/>
    </xf>
    <xf numFmtId="43" fontId="12" fillId="0" borderId="0" xfId="1" applyNumberFormat="1" applyFont="1" applyFill="1"/>
    <xf numFmtId="43" fontId="11" fillId="0" borderId="0" xfId="1" applyNumberFormat="1" applyFont="1" applyFill="1"/>
    <xf numFmtId="43" fontId="17" fillId="0" borderId="1" xfId="1" applyNumberFormat="1" applyFont="1" applyFill="1" applyBorder="1" applyAlignment="1" applyProtection="1">
      <alignment horizontal="center" vertical="center" wrapText="1"/>
    </xf>
    <xf numFmtId="43" fontId="16" fillId="0" borderId="1" xfId="1" applyNumberFormat="1" applyFont="1" applyFill="1" applyBorder="1" applyAlignment="1">
      <alignment horizontal="center" vertical="center" wrapText="1"/>
    </xf>
    <xf numFmtId="17" fontId="16" fillId="0" borderId="1" xfId="0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/>
    </xf>
    <xf numFmtId="43" fontId="16" fillId="0" borderId="1" xfId="1" applyNumberFormat="1" applyFont="1" applyFill="1" applyBorder="1" applyAlignment="1">
      <alignment vertical="center" wrapText="1"/>
    </xf>
    <xf numFmtId="17" fontId="16" fillId="0" borderId="1" xfId="0" applyNumberFormat="1" applyFont="1" applyFill="1" applyBorder="1" applyAlignment="1">
      <alignment horizontal="center" vertical="center"/>
    </xf>
    <xf numFmtId="43" fontId="11" fillId="0" borderId="1" xfId="1" applyNumberFormat="1" applyFont="1" applyFill="1" applyBorder="1" applyAlignment="1">
      <alignment vertical="center"/>
    </xf>
    <xf numFmtId="17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3" fontId="12" fillId="0" borderId="1" xfId="0" applyNumberFormat="1" applyFont="1" applyFill="1" applyBorder="1" applyAlignment="1">
      <alignment vertical="center" wrapText="1"/>
    </xf>
    <xf numFmtId="0" fontId="13" fillId="0" borderId="1" xfId="4" applyFont="1" applyFill="1" applyBorder="1" applyAlignment="1">
      <alignment horizontal="center" vertical="center" wrapText="1"/>
    </xf>
    <xf numFmtId="43" fontId="13" fillId="0" borderId="1" xfId="4" applyNumberFormat="1" applyFont="1" applyFill="1" applyBorder="1" applyAlignment="1">
      <alignment horizontal="center" vertical="center" wrapText="1"/>
    </xf>
    <xf numFmtId="43" fontId="12" fillId="0" borderId="0" xfId="1" applyNumberFormat="1" applyFont="1" applyFill="1" applyAlignment="1">
      <alignment horizontal="left"/>
    </xf>
    <xf numFmtId="43" fontId="16" fillId="0" borderId="1" xfId="0" applyNumberFormat="1" applyFont="1" applyFill="1" applyBorder="1" applyAlignment="1">
      <alignment horizontal="center" vertical="center" wrapText="1"/>
    </xf>
    <xf numFmtId="43" fontId="1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3" fontId="26" fillId="0" borderId="1" xfId="0" applyNumberFormat="1" applyFont="1" applyFill="1" applyBorder="1" applyAlignment="1">
      <alignment vertical="center" wrapText="1"/>
    </xf>
    <xf numFmtId="17" fontId="27" fillId="0" borderId="1" xfId="0" applyNumberFormat="1" applyFont="1" applyFill="1" applyBorder="1" applyAlignment="1">
      <alignment horizontal="center" vertical="center" wrapText="1"/>
    </xf>
    <xf numFmtId="17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17" fillId="0" borderId="1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vertical="center" wrapText="1"/>
    </xf>
    <xf numFmtId="17" fontId="18" fillId="0" borderId="1" xfId="0" applyNumberFormat="1" applyFont="1" applyFill="1" applyBorder="1" applyAlignment="1" applyProtection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/>
    </xf>
    <xf numFmtId="43" fontId="15" fillId="0" borderId="1" xfId="0" applyNumberFormat="1" applyFont="1" applyFill="1" applyBorder="1" applyAlignment="1">
      <alignment horizontal="center" vertical="center"/>
    </xf>
    <xf numFmtId="17" fontId="15" fillId="0" borderId="1" xfId="0" applyNumberFormat="1" applyFont="1" applyFill="1" applyBorder="1" applyAlignment="1">
      <alignment horizontal="center" vertical="center"/>
    </xf>
    <xf numFmtId="43" fontId="16" fillId="0" borderId="1" xfId="1" applyNumberFormat="1" applyFont="1" applyFill="1" applyBorder="1" applyAlignment="1">
      <alignment horizontal="center" vertical="top" wrapText="1"/>
    </xf>
    <xf numFmtId="49" fontId="12" fillId="0" borderId="1" xfId="1" applyNumberFormat="1" applyFont="1" applyFill="1" applyBorder="1" applyAlignment="1">
      <alignment horizontal="center" vertical="center" wrapText="1" shrinkToFit="1"/>
    </xf>
    <xf numFmtId="49" fontId="13" fillId="0" borderId="1" xfId="2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1" fontId="14" fillId="0" borderId="1" xfId="0" applyNumberFormat="1" applyFont="1" applyFill="1" applyBorder="1" applyAlignment="1">
      <alignment horizontal="center" vertical="center" wrapText="1"/>
    </xf>
    <xf numFmtId="43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3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 wrapText="1"/>
    </xf>
    <xf numFmtId="43" fontId="17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43" fontId="16" fillId="0" borderId="1" xfId="0" applyNumberFormat="1" applyFont="1" applyFill="1" applyBorder="1" applyAlignment="1">
      <alignment horizontal="right" vertical="center" wrapText="1"/>
    </xf>
    <xf numFmtId="1" fontId="18" fillId="0" borderId="1" xfId="0" applyNumberFormat="1" applyFont="1" applyFill="1" applyBorder="1" applyAlignment="1">
      <alignment horizontal="center" vertical="center" shrinkToFit="1"/>
    </xf>
    <xf numFmtId="43" fontId="19" fillId="0" borderId="1" xfId="0" applyNumberFormat="1" applyFont="1" applyFill="1" applyBorder="1" applyAlignment="1">
      <alignment horizontal="center" vertical="center" wrapText="1"/>
    </xf>
    <xf numFmtId="43" fontId="21" fillId="0" borderId="1" xfId="0" applyNumberFormat="1" applyFont="1" applyFill="1" applyBorder="1" applyAlignment="1">
      <alignment horizontal="left" vertical="center" wrapText="1"/>
    </xf>
    <xf numFmtId="43" fontId="21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43" fontId="19" fillId="0" borderId="1" xfId="0" applyNumberFormat="1" applyFont="1" applyFill="1" applyBorder="1" applyAlignment="1">
      <alignment horizontal="right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43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3" fontId="17" fillId="0" borderId="1" xfId="0" applyNumberFormat="1" applyFont="1" applyFill="1" applyBorder="1" applyAlignment="1" applyProtection="1">
      <alignment horizontal="center" vertical="center" wrapText="1"/>
    </xf>
    <xf numFmtId="43" fontId="21" fillId="0" borderId="1" xfId="0" applyNumberFormat="1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1" fontId="16" fillId="0" borderId="1" xfId="1" applyNumberFormat="1" applyFont="1" applyFill="1" applyBorder="1" applyAlignment="1" applyProtection="1">
      <alignment horizontal="center" vertical="center" wrapText="1"/>
    </xf>
    <xf numFmtId="17" fontId="17" fillId="0" borderId="1" xfId="1" applyNumberFormat="1" applyFont="1" applyFill="1" applyBorder="1" applyAlignment="1" applyProtection="1">
      <alignment horizontal="center" vertical="center" wrapText="1"/>
    </xf>
    <xf numFmtId="4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7" fontId="16" fillId="0" borderId="1" xfId="1" applyNumberFormat="1" applyFont="1" applyFill="1" applyBorder="1" applyAlignment="1" applyProtection="1">
      <alignment horizontal="center" vertical="center" wrapText="1"/>
    </xf>
    <xf numFmtId="43" fontId="11" fillId="0" borderId="1" xfId="1" applyNumberFormat="1" applyFont="1" applyFill="1" applyBorder="1" applyAlignment="1">
      <alignment horizontal="center" vertical="top"/>
    </xf>
    <xf numFmtId="17" fontId="11" fillId="0" borderId="1" xfId="1" applyNumberFormat="1" applyFont="1" applyFill="1" applyBorder="1" applyAlignment="1">
      <alignment horizontal="center" vertical="center"/>
    </xf>
    <xf numFmtId="43" fontId="17" fillId="0" borderId="1" xfId="1" applyNumberFormat="1" applyFont="1" applyFill="1" applyBorder="1" applyAlignment="1">
      <alignment horizontal="center" vertical="center" wrapText="1"/>
    </xf>
    <xf numFmtId="17" fontId="17" fillId="0" borderId="1" xfId="1" applyNumberFormat="1" applyFont="1" applyFill="1" applyBorder="1" applyAlignment="1">
      <alignment horizontal="center" vertical="center" wrapText="1"/>
    </xf>
    <xf numFmtId="17" fontId="16" fillId="0" borderId="1" xfId="1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 wrapText="1"/>
    </xf>
    <xf numFmtId="43" fontId="16" fillId="0" borderId="1" xfId="0" applyNumberFormat="1" applyFont="1" applyFill="1" applyBorder="1" applyAlignment="1" applyProtection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3" fontId="12" fillId="0" borderId="1" xfId="0" applyNumberFormat="1" applyFont="1" applyFill="1" applyBorder="1" applyAlignment="1">
      <alignment horizontal="center" vertical="center" wrapText="1" shrinkToFit="1"/>
    </xf>
    <xf numFmtId="43" fontId="12" fillId="0" borderId="1" xfId="0" applyNumberFormat="1" applyFont="1" applyFill="1" applyBorder="1" applyAlignment="1" applyProtection="1">
      <alignment horizontal="center" vertical="center" wrapText="1" shrinkToFit="1"/>
    </xf>
    <xf numFmtId="43" fontId="11" fillId="0" borderId="1" xfId="0" applyNumberFormat="1" applyFont="1" applyFill="1" applyBorder="1" applyAlignment="1">
      <alignment horizontal="center" vertical="center" wrapText="1" shrinkToFit="1"/>
    </xf>
    <xf numFmtId="166" fontId="13" fillId="0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43" fontId="11" fillId="0" borderId="1" xfId="1" applyNumberFormat="1" applyFont="1" applyFill="1" applyBorder="1" applyAlignment="1">
      <alignment horizontal="center" vertical="center" wrapText="1"/>
    </xf>
    <xf numFmtId="43" fontId="16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2" fillId="0" borderId="1" xfId="1" applyNumberFormat="1" applyFont="1" applyFill="1" applyBorder="1" applyAlignment="1">
      <alignment vertical="center" wrapText="1"/>
    </xf>
    <xf numFmtId="43" fontId="12" fillId="0" borderId="1" xfId="1" applyNumberFormat="1" applyFont="1" applyFill="1" applyBorder="1" applyAlignment="1">
      <alignment horizontal="center" vertical="center" wrapText="1"/>
    </xf>
    <xf numFmtId="43" fontId="12" fillId="0" borderId="1" xfId="1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/>
    </xf>
    <xf numFmtId="43" fontId="13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43" fontId="15" fillId="0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7" fontId="13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13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29" fillId="2" borderId="1" xfId="5" applyNumberFormat="1" applyFont="1" applyFill="1" applyBorder="1" applyAlignment="1" applyProtection="1">
      <alignment horizontal="center" vertical="center" wrapText="1"/>
    </xf>
    <xf numFmtId="168" fontId="29" fillId="0" borderId="7" xfId="9" applyNumberFormat="1" applyFont="1" applyFill="1" applyBorder="1" applyAlignment="1" applyProtection="1">
      <alignment horizontal="center" vertical="center" wrapText="1"/>
    </xf>
    <xf numFmtId="0" fontId="2" fillId="0" borderId="1" xfId="10" applyFont="1" applyBorder="1" applyAlignment="1">
      <alignment horizontal="center" vertical="center" wrapText="1"/>
    </xf>
    <xf numFmtId="49" fontId="30" fillId="2" borderId="3" xfId="0" applyNumberFormat="1" applyFont="1" applyFill="1" applyBorder="1" applyAlignment="1" applyProtection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2" fillId="0" borderId="1" xfId="12" applyFont="1" applyBorder="1" applyAlignment="1">
      <alignment horizontal="center" vertical="center" wrapText="1"/>
    </xf>
    <xf numFmtId="4" fontId="30" fillId="2" borderId="9" xfId="0" applyNumberFormat="1" applyFont="1" applyFill="1" applyBorder="1" applyAlignment="1" applyProtection="1">
      <alignment horizontal="center" vertical="center" wrapText="1"/>
    </xf>
    <xf numFmtId="4" fontId="30" fillId="2" borderId="7" xfId="0" applyNumberFormat="1" applyFont="1" applyFill="1" applyBorder="1" applyAlignment="1" applyProtection="1">
      <alignment horizontal="center" vertical="center" wrapText="1"/>
    </xf>
    <xf numFmtId="49" fontId="30" fillId="2" borderId="7" xfId="0" applyNumberFormat="1" applyFont="1" applyFill="1" applyBorder="1" applyAlignment="1" applyProtection="1">
      <alignment horizontal="center" vertical="center" wrapText="1"/>
    </xf>
    <xf numFmtId="0" fontId="30" fillId="0" borderId="1" xfId="13" applyFont="1" applyBorder="1" applyAlignment="1">
      <alignment horizontal="center" vertical="center" wrapText="1"/>
    </xf>
    <xf numFmtId="0" fontId="4" fillId="0" borderId="10" xfId="14" applyFont="1" applyBorder="1" applyAlignment="1">
      <alignment horizontal="center" vertical="center" wrapText="1"/>
    </xf>
    <xf numFmtId="4" fontId="32" fillId="2" borderId="9" xfId="0" applyNumberFormat="1" applyFont="1" applyFill="1" applyBorder="1" applyAlignment="1" applyProtection="1">
      <alignment horizontal="center" vertical="top" wrapText="1"/>
    </xf>
    <xf numFmtId="4" fontId="32" fillId="2" borderId="7" xfId="0" applyNumberFormat="1" applyFont="1" applyFill="1" applyBorder="1" applyAlignment="1" applyProtection="1">
      <alignment horizontal="center" vertical="top" wrapText="1"/>
    </xf>
    <xf numFmtId="49" fontId="32" fillId="2" borderId="11" xfId="0" applyNumberFormat="1" applyFont="1" applyFill="1" applyBorder="1" applyAlignment="1" applyProtection="1">
      <alignment horizontal="center" vertical="top" wrapText="1"/>
    </xf>
    <xf numFmtId="4" fontId="30" fillId="2" borderId="9" xfId="0" applyNumberFormat="1" applyFont="1" applyFill="1" applyBorder="1" applyAlignment="1" applyProtection="1">
      <alignment horizontal="center" vertical="top" wrapText="1"/>
    </xf>
    <xf numFmtId="4" fontId="30" fillId="2" borderId="7" xfId="0" applyNumberFormat="1" applyFont="1" applyFill="1" applyBorder="1" applyAlignment="1" applyProtection="1">
      <alignment horizontal="center" vertical="top" wrapText="1"/>
    </xf>
    <xf numFmtId="49" fontId="30" fillId="2" borderId="7" xfId="0" applyNumberFormat="1" applyFont="1" applyFill="1" applyBorder="1" applyAlignment="1" applyProtection="1">
      <alignment horizontal="center" vertical="top" wrapText="1"/>
    </xf>
    <xf numFmtId="49" fontId="32" fillId="2" borderId="1" xfId="0" applyNumberFormat="1" applyFont="1" applyFill="1" applyBorder="1" applyAlignment="1" applyProtection="1">
      <alignment horizontal="center" vertical="top" wrapText="1"/>
    </xf>
    <xf numFmtId="49" fontId="29" fillId="2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3" fontId="12" fillId="0" borderId="1" xfId="1" applyNumberFormat="1" applyFont="1" applyFill="1" applyBorder="1" applyAlignment="1">
      <alignment horizontal="center" vertical="center" wrapText="1"/>
    </xf>
    <xf numFmtId="49" fontId="18" fillId="0" borderId="6" xfId="7" applyNumberFormat="1" applyFont="1" applyFill="1" applyBorder="1" applyAlignment="1" applyProtection="1">
      <alignment horizontal="center" vertical="center" wrapText="1"/>
    </xf>
    <xf numFmtId="49" fontId="18" fillId="2" borderId="5" xfId="6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left" vertical="top" wrapText="1"/>
    </xf>
    <xf numFmtId="0" fontId="23" fillId="0" borderId="1" xfId="0" applyFont="1" applyFill="1" applyBorder="1" applyAlignment="1">
      <alignment horizontal="left"/>
    </xf>
    <xf numFmtId="49" fontId="21" fillId="0" borderId="1" xfId="0" applyNumberFormat="1" applyFont="1" applyFill="1" applyBorder="1" applyAlignment="1" applyProtection="1">
      <alignment horizontal="left" vertical="top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3" fontId="17" fillId="0" borderId="1" xfId="1" applyNumberFormat="1" applyFont="1" applyFill="1" applyBorder="1" applyAlignment="1" applyProtection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43" fontId="12" fillId="0" borderId="1" xfId="1" applyNumberFormat="1" applyFont="1" applyFill="1" applyBorder="1" applyAlignment="1">
      <alignment horizontal="center" vertical="center" wrapText="1"/>
    </xf>
    <xf numFmtId="43" fontId="12" fillId="0" borderId="1" xfId="1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43" fontId="17" fillId="0" borderId="1" xfId="1" applyNumberFormat="1" applyFont="1" applyFill="1" applyBorder="1" applyAlignment="1" applyProtection="1">
      <alignment horizontal="left" vertical="center" wrapText="1"/>
    </xf>
    <xf numFmtId="43" fontId="16" fillId="0" borderId="1" xfId="1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3" fontId="17" fillId="0" borderId="1" xfId="1" applyNumberFormat="1" applyFont="1" applyFill="1" applyBorder="1" applyAlignment="1">
      <alignment horizontal="left" vertical="center" wrapText="1"/>
    </xf>
    <xf numFmtId="43" fontId="11" fillId="0" borderId="1" xfId="1" applyNumberFormat="1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left" wrapText="1"/>
    </xf>
    <xf numFmtId="43" fontId="16" fillId="0" borderId="1" xfId="1" applyNumberFormat="1" applyFont="1" applyFill="1" applyBorder="1" applyAlignment="1">
      <alignment horizontal="center" vertical="center"/>
    </xf>
    <xf numFmtId="43" fontId="12" fillId="0" borderId="1" xfId="1" applyNumberFormat="1" applyFont="1" applyFill="1" applyBorder="1" applyAlignment="1">
      <alignment horizontal="center" vertical="center"/>
    </xf>
    <xf numFmtId="43" fontId="11" fillId="0" borderId="1" xfId="1" applyNumberFormat="1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vertical="center"/>
    </xf>
    <xf numFmtId="43" fontId="11" fillId="0" borderId="1" xfId="1" applyNumberFormat="1" applyFont="1" applyFill="1" applyBorder="1" applyAlignment="1">
      <alignment horizontal="left" vertical="top" wrapText="1"/>
    </xf>
    <xf numFmtId="43" fontId="11" fillId="0" borderId="1" xfId="1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3" fontId="11" fillId="0" borderId="1" xfId="1" applyNumberFormat="1" applyFont="1" applyFill="1" applyBorder="1" applyAlignment="1">
      <alignment horizontal="center" vertical="center" wrapText="1"/>
    </xf>
    <xf numFmtId="43" fontId="12" fillId="0" borderId="1" xfId="1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49" fontId="11" fillId="0" borderId="1" xfId="1" applyNumberFormat="1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2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/>
    </xf>
    <xf numFmtId="2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" xfId="0" applyNumberFormat="1" applyFont="1" applyFill="1" applyBorder="1" applyAlignment="1" applyProtection="1">
      <alignment vertical="center" wrapText="1"/>
    </xf>
    <xf numFmtId="49" fontId="32" fillId="2" borderId="13" xfId="0" applyNumberFormat="1" applyFont="1" applyFill="1" applyBorder="1" applyAlignment="1" applyProtection="1">
      <alignment horizontal="left" vertical="top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49" fontId="32" fillId="2" borderId="2" xfId="0" applyNumberFormat="1" applyFont="1" applyFill="1" applyBorder="1" applyAlignment="1" applyProtection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2" fillId="0" borderId="1" xfId="0" applyNumberFormat="1" applyFont="1" applyFill="1" applyBorder="1" applyAlignment="1" applyProtection="1">
      <alignment horizontal="center" vertical="top" wrapText="1"/>
    </xf>
  </cellXfs>
  <cellStyles count="15">
    <cellStyle name="Обычный" xfId="0" builtinId="0"/>
    <cellStyle name="Обычный 10" xfId="4"/>
    <cellStyle name="Обычный 11" xfId="9"/>
    <cellStyle name="Обычный 13" xfId="10"/>
    <cellStyle name="Обычный 14" xfId="11"/>
    <cellStyle name="Обычный 15" xfId="12"/>
    <cellStyle name="Обычный 16" xfId="13"/>
    <cellStyle name="Обычный 2" xfId="3"/>
    <cellStyle name="Обычный 2 2" xfId="14"/>
    <cellStyle name="Обычный 3" xfId="2"/>
    <cellStyle name="Обычный 4" xfId="5"/>
    <cellStyle name="Обычный 6" xfId="6"/>
    <cellStyle name="Обычный 7" xfId="7"/>
    <cellStyle name="Обычный 8" xfId="8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26"/>
  <sheetViews>
    <sheetView tabSelected="1" topLeftCell="A2220" zoomScaleNormal="100" workbookViewId="0">
      <selection activeCell="B2166" sqref="B2166:B2223"/>
    </sheetView>
  </sheetViews>
  <sheetFormatPr defaultColWidth="9.109375" defaultRowHeight="13.8" x14ac:dyDescent="0.3"/>
  <cols>
    <col min="1" max="1" width="6" style="14" customWidth="1"/>
    <col min="2" max="2" width="19.33203125" style="1" customWidth="1"/>
    <col min="3" max="3" width="28.109375" style="1" customWidth="1"/>
    <col min="4" max="4" width="25.109375" style="1" customWidth="1"/>
    <col min="5" max="5" width="13.33203125" style="1" customWidth="1"/>
    <col min="6" max="6" width="23.33203125" style="11" customWidth="1"/>
    <col min="7" max="7" width="13.44140625" style="12" customWidth="1"/>
    <col min="8" max="8" width="13.6640625" style="12" customWidth="1"/>
    <col min="9" max="9" width="14.44140625" style="12" customWidth="1"/>
    <col min="10" max="10" width="10.6640625" style="12" customWidth="1"/>
    <col min="11" max="11" width="14.88671875" style="1" customWidth="1"/>
    <col min="12" max="16384" width="9.109375" style="1"/>
  </cols>
  <sheetData>
    <row r="1" spans="1:11" x14ac:dyDescent="0.3">
      <c r="I1" s="13"/>
      <c r="J1" s="13"/>
      <c r="K1" s="4"/>
    </row>
    <row r="2" spans="1:11" s="2" customFormat="1" ht="15" customHeight="1" x14ac:dyDescent="0.3">
      <c r="A2" s="202" t="s">
        <v>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2" customFormat="1" ht="15" customHeigh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s="2" customFormat="1" ht="21.75" customHeight="1" x14ac:dyDescent="0.3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s="3" customFormat="1" ht="30" customHeight="1" x14ac:dyDescent="0.3">
      <c r="A5" s="205" t="s">
        <v>0</v>
      </c>
      <c r="B5" s="203" t="s">
        <v>2640</v>
      </c>
      <c r="C5" s="203" t="s">
        <v>1</v>
      </c>
      <c r="D5" s="203"/>
      <c r="E5" s="203" t="s">
        <v>3</v>
      </c>
      <c r="F5" s="204" t="s">
        <v>16</v>
      </c>
      <c r="G5" s="204" t="s">
        <v>17</v>
      </c>
      <c r="H5" s="204"/>
      <c r="I5" s="204"/>
      <c r="J5" s="204"/>
      <c r="K5" s="203" t="s">
        <v>9</v>
      </c>
    </row>
    <row r="6" spans="1:11" s="3" customFormat="1" ht="26.25" customHeight="1" x14ac:dyDescent="0.3">
      <c r="A6" s="205"/>
      <c r="B6" s="203"/>
      <c r="C6" s="203" t="s">
        <v>15</v>
      </c>
      <c r="D6" s="203" t="s">
        <v>2</v>
      </c>
      <c r="E6" s="203"/>
      <c r="F6" s="204"/>
      <c r="G6" s="204" t="s">
        <v>4</v>
      </c>
      <c r="H6" s="204" t="s">
        <v>5</v>
      </c>
      <c r="I6" s="204"/>
      <c r="J6" s="204" t="s">
        <v>8</v>
      </c>
      <c r="K6" s="203"/>
    </row>
    <row r="7" spans="1:11" s="3" customFormat="1" ht="68.400000000000006" customHeight="1" x14ac:dyDescent="0.3">
      <c r="A7" s="205"/>
      <c r="B7" s="203"/>
      <c r="C7" s="203"/>
      <c r="D7" s="203"/>
      <c r="E7" s="203"/>
      <c r="F7" s="204"/>
      <c r="G7" s="204"/>
      <c r="H7" s="151" t="s">
        <v>6</v>
      </c>
      <c r="I7" s="151" t="s">
        <v>7</v>
      </c>
      <c r="J7" s="204"/>
      <c r="K7" s="203"/>
    </row>
    <row r="8" spans="1:11" s="5" customFormat="1" ht="15" customHeight="1" x14ac:dyDescent="0.3">
      <c r="A8" s="88">
        <v>1</v>
      </c>
      <c r="B8" s="17">
        <v>2</v>
      </c>
      <c r="C8" s="17">
        <v>3</v>
      </c>
      <c r="D8" s="17">
        <v>4</v>
      </c>
      <c r="E8" s="17">
        <v>5</v>
      </c>
      <c r="F8" s="135">
        <v>6</v>
      </c>
      <c r="G8" s="135">
        <v>7</v>
      </c>
      <c r="H8" s="135">
        <v>8</v>
      </c>
      <c r="I8" s="135">
        <v>9</v>
      </c>
      <c r="J8" s="135">
        <v>10</v>
      </c>
      <c r="K8" s="17">
        <v>11</v>
      </c>
    </row>
    <row r="9" spans="1:11" s="5" customFormat="1" ht="21" customHeight="1" x14ac:dyDescent="0.3">
      <c r="A9" s="206" t="s">
        <v>2641</v>
      </c>
      <c r="B9" s="207"/>
      <c r="C9" s="207"/>
      <c r="D9" s="207"/>
      <c r="E9" s="207"/>
      <c r="F9" s="207"/>
      <c r="G9" s="207"/>
      <c r="H9" s="207"/>
      <c r="I9" s="207"/>
      <c r="J9" s="207"/>
      <c r="K9" s="208"/>
    </row>
    <row r="10" spans="1:11" s="3" customFormat="1" ht="200.4" customHeight="1" x14ac:dyDescent="0.3">
      <c r="A10" s="22">
        <v>1</v>
      </c>
      <c r="B10" s="136" t="s">
        <v>11</v>
      </c>
      <c r="C10" s="16" t="s">
        <v>2491</v>
      </c>
      <c r="D10" s="16" t="s">
        <v>18</v>
      </c>
      <c r="E10" s="16" t="s">
        <v>12</v>
      </c>
      <c r="F10" s="23">
        <v>2778.85</v>
      </c>
      <c r="G10" s="20">
        <v>0</v>
      </c>
      <c r="H10" s="144">
        <v>0</v>
      </c>
      <c r="I10" s="144">
        <v>2778.85</v>
      </c>
      <c r="J10" s="144">
        <v>0</v>
      </c>
      <c r="K10" s="25" t="s">
        <v>13</v>
      </c>
    </row>
    <row r="11" spans="1:11" s="3" customFormat="1" ht="27" customHeight="1" x14ac:dyDescent="0.3">
      <c r="A11" s="200" t="s">
        <v>19</v>
      </c>
      <c r="B11" s="200"/>
      <c r="C11" s="200"/>
      <c r="D11" s="150"/>
      <c r="E11" s="150" t="s">
        <v>10</v>
      </c>
      <c r="F11" s="140">
        <f>SUM(F10)</f>
        <v>2778.85</v>
      </c>
      <c r="G11" s="140">
        <f>SUM(G10)</f>
        <v>0</v>
      </c>
      <c r="H11" s="140">
        <f t="shared" ref="H11:J11" si="0">SUM(H10)</f>
        <v>0</v>
      </c>
      <c r="I11" s="151">
        <f>SUM(I10)</f>
        <v>2778.85</v>
      </c>
      <c r="J11" s="140">
        <f t="shared" si="0"/>
        <v>0</v>
      </c>
      <c r="K11" s="150" t="s">
        <v>10</v>
      </c>
    </row>
    <row r="12" spans="1:11" s="6" customFormat="1" ht="84" customHeight="1" x14ac:dyDescent="0.3">
      <c r="A12" s="22">
        <v>2</v>
      </c>
      <c r="B12" s="197" t="s">
        <v>65</v>
      </c>
      <c r="C12" s="136" t="s">
        <v>2494</v>
      </c>
      <c r="D12" s="189" t="s">
        <v>20</v>
      </c>
      <c r="E12" s="16" t="s">
        <v>21</v>
      </c>
      <c r="F12" s="69">
        <f>2970000/1000</f>
        <v>2970</v>
      </c>
      <c r="G12" s="69">
        <f>2970000/1000</f>
        <v>2970</v>
      </c>
      <c r="H12" s="24" t="s">
        <v>22</v>
      </c>
      <c r="I12" s="24" t="s">
        <v>22</v>
      </c>
      <c r="J12" s="24" t="s">
        <v>22</v>
      </c>
      <c r="K12" s="25" t="s">
        <v>23</v>
      </c>
    </row>
    <row r="13" spans="1:11" s="6" customFormat="1" ht="76.5" customHeight="1" x14ac:dyDescent="0.3">
      <c r="A13" s="22">
        <v>3</v>
      </c>
      <c r="B13" s="197"/>
      <c r="C13" s="25" t="s">
        <v>2495</v>
      </c>
      <c r="D13" s="189" t="s">
        <v>24</v>
      </c>
      <c r="E13" s="16" t="s">
        <v>21</v>
      </c>
      <c r="F13" s="69">
        <f>5000000/1000</f>
        <v>5000</v>
      </c>
      <c r="G13" s="69">
        <f>5000000/1000</f>
        <v>5000</v>
      </c>
      <c r="H13" s="24" t="s">
        <v>22</v>
      </c>
      <c r="I13" s="24" t="s">
        <v>22</v>
      </c>
      <c r="J13" s="24" t="s">
        <v>25</v>
      </c>
      <c r="K13" s="25" t="s">
        <v>23</v>
      </c>
    </row>
    <row r="14" spans="1:11" s="6" customFormat="1" ht="129.6" customHeight="1" x14ac:dyDescent="0.3">
      <c r="A14" s="22">
        <v>4</v>
      </c>
      <c r="B14" s="197"/>
      <c r="C14" s="25" t="s">
        <v>2496</v>
      </c>
      <c r="D14" s="189" t="s">
        <v>26</v>
      </c>
      <c r="E14" s="16" t="s">
        <v>21</v>
      </c>
      <c r="F14" s="69">
        <f>9633333.33/1000</f>
        <v>9633.3333299999995</v>
      </c>
      <c r="G14" s="69">
        <f>9633333.33/1000</f>
        <v>9633.3333299999995</v>
      </c>
      <c r="H14" s="24" t="s">
        <v>25</v>
      </c>
      <c r="I14" s="24" t="s">
        <v>22</v>
      </c>
      <c r="J14" s="24" t="s">
        <v>25</v>
      </c>
      <c r="K14" s="25" t="s">
        <v>23</v>
      </c>
    </row>
    <row r="15" spans="1:11" s="6" customFormat="1" ht="24" customHeight="1" x14ac:dyDescent="0.3">
      <c r="A15" s="200" t="s">
        <v>57</v>
      </c>
      <c r="B15" s="201"/>
      <c r="C15" s="201"/>
      <c r="D15" s="201"/>
      <c r="E15" s="16"/>
      <c r="F15" s="89">
        <f>SUM(F12:F14)</f>
        <v>17603.333330000001</v>
      </c>
      <c r="G15" s="89">
        <f>SUM(G12:G14)</f>
        <v>17603.333330000001</v>
      </c>
      <c r="H15" s="24" t="s">
        <v>25</v>
      </c>
      <c r="I15" s="24" t="s">
        <v>22</v>
      </c>
      <c r="J15" s="24" t="s">
        <v>25</v>
      </c>
      <c r="K15" s="15"/>
    </row>
    <row r="16" spans="1:11" s="6" customFormat="1" ht="163.19999999999999" customHeight="1" x14ac:dyDescent="0.3">
      <c r="A16" s="22">
        <v>5</v>
      </c>
      <c r="B16" s="198" t="s">
        <v>66</v>
      </c>
      <c r="C16" s="42" t="s">
        <v>2497</v>
      </c>
      <c r="D16" s="136" t="s">
        <v>27</v>
      </c>
      <c r="E16" s="142" t="s">
        <v>21</v>
      </c>
      <c r="F16" s="43">
        <v>851.96744000000001</v>
      </c>
      <c r="G16" s="43">
        <v>851.96744000000001</v>
      </c>
      <c r="H16" s="43" t="s">
        <v>28</v>
      </c>
      <c r="I16" s="43" t="s">
        <v>28</v>
      </c>
      <c r="J16" s="43" t="s">
        <v>28</v>
      </c>
      <c r="K16" s="44" t="s">
        <v>23</v>
      </c>
    </row>
    <row r="17" spans="1:11" s="6" customFormat="1" ht="145.80000000000001" customHeight="1" x14ac:dyDescent="0.3">
      <c r="A17" s="22">
        <v>6</v>
      </c>
      <c r="B17" s="199"/>
      <c r="C17" s="42" t="s">
        <v>2498</v>
      </c>
      <c r="D17" s="136" t="s">
        <v>29</v>
      </c>
      <c r="E17" s="142" t="s">
        <v>21</v>
      </c>
      <c r="F17" s="43">
        <v>1056.10661</v>
      </c>
      <c r="G17" s="43">
        <v>1056.10661</v>
      </c>
      <c r="H17" s="43" t="s">
        <v>28</v>
      </c>
      <c r="I17" s="43" t="s">
        <v>28</v>
      </c>
      <c r="J17" s="43" t="s">
        <v>28</v>
      </c>
      <c r="K17" s="44" t="s">
        <v>23</v>
      </c>
    </row>
    <row r="18" spans="1:11" s="6" customFormat="1" ht="126.75" customHeight="1" x14ac:dyDescent="0.3">
      <c r="A18" s="22">
        <v>7</v>
      </c>
      <c r="B18" s="199"/>
      <c r="C18" s="42" t="s">
        <v>2492</v>
      </c>
      <c r="D18" s="136" t="s">
        <v>30</v>
      </c>
      <c r="E18" s="142" t="s">
        <v>21</v>
      </c>
      <c r="F18" s="43">
        <v>3237.5829399999998</v>
      </c>
      <c r="G18" s="43">
        <v>3237.5829399999998</v>
      </c>
      <c r="H18" s="43" t="s">
        <v>28</v>
      </c>
      <c r="I18" s="43" t="s">
        <v>28</v>
      </c>
      <c r="J18" s="43" t="s">
        <v>28</v>
      </c>
      <c r="K18" s="44" t="s">
        <v>23</v>
      </c>
    </row>
    <row r="19" spans="1:11" s="6" customFormat="1" ht="64.5" customHeight="1" x14ac:dyDescent="0.3">
      <c r="A19" s="22">
        <v>8</v>
      </c>
      <c r="B19" s="199"/>
      <c r="C19" s="42" t="s">
        <v>2500</v>
      </c>
      <c r="D19" s="136" t="s">
        <v>31</v>
      </c>
      <c r="E19" s="142" t="s">
        <v>21</v>
      </c>
      <c r="F19" s="43">
        <v>755.87698999999998</v>
      </c>
      <c r="G19" s="43">
        <v>755.87698999999998</v>
      </c>
      <c r="H19" s="43" t="s">
        <v>28</v>
      </c>
      <c r="I19" s="43" t="s">
        <v>28</v>
      </c>
      <c r="J19" s="43" t="s">
        <v>28</v>
      </c>
      <c r="K19" s="44" t="s">
        <v>23</v>
      </c>
    </row>
    <row r="20" spans="1:11" s="6" customFormat="1" ht="51" customHeight="1" x14ac:dyDescent="0.3">
      <c r="A20" s="22">
        <v>9</v>
      </c>
      <c r="B20" s="199"/>
      <c r="C20" s="42" t="s">
        <v>2501</v>
      </c>
      <c r="D20" s="136" t="s">
        <v>32</v>
      </c>
      <c r="E20" s="142" t="s">
        <v>21</v>
      </c>
      <c r="F20" s="43">
        <v>1505.1205</v>
      </c>
      <c r="G20" s="43">
        <v>1505.1205</v>
      </c>
      <c r="H20" s="43" t="s">
        <v>28</v>
      </c>
      <c r="I20" s="43" t="s">
        <v>28</v>
      </c>
      <c r="J20" s="43" t="s">
        <v>28</v>
      </c>
      <c r="K20" s="44" t="s">
        <v>23</v>
      </c>
    </row>
    <row r="21" spans="1:11" s="6" customFormat="1" ht="90" customHeight="1" x14ac:dyDescent="0.3">
      <c r="A21" s="22">
        <v>10</v>
      </c>
      <c r="B21" s="199"/>
      <c r="C21" s="42" t="s">
        <v>2499</v>
      </c>
      <c r="D21" s="136" t="s">
        <v>33</v>
      </c>
      <c r="E21" s="142" t="s">
        <v>34</v>
      </c>
      <c r="F21" s="43">
        <v>1151.4118900000001</v>
      </c>
      <c r="G21" s="43">
        <v>1151.4118900000001</v>
      </c>
      <c r="H21" s="43" t="s">
        <v>28</v>
      </c>
      <c r="I21" s="43" t="s">
        <v>28</v>
      </c>
      <c r="J21" s="43" t="s">
        <v>28</v>
      </c>
      <c r="K21" s="44" t="s">
        <v>23</v>
      </c>
    </row>
    <row r="22" spans="1:11" s="6" customFormat="1" ht="118.8" customHeight="1" x14ac:dyDescent="0.3">
      <c r="A22" s="22">
        <v>11</v>
      </c>
      <c r="B22" s="199"/>
      <c r="C22" s="42" t="s">
        <v>2493</v>
      </c>
      <c r="D22" s="136" t="s">
        <v>35</v>
      </c>
      <c r="E22" s="142" t="s">
        <v>34</v>
      </c>
      <c r="F22" s="43">
        <v>2352.0646700000002</v>
      </c>
      <c r="G22" s="43">
        <v>2352.0646700000002</v>
      </c>
      <c r="H22" s="43" t="s">
        <v>28</v>
      </c>
      <c r="I22" s="43" t="s">
        <v>28</v>
      </c>
      <c r="J22" s="43" t="s">
        <v>28</v>
      </c>
      <c r="K22" s="44" t="s">
        <v>36</v>
      </c>
    </row>
    <row r="23" spans="1:11" s="6" customFormat="1" ht="93" customHeight="1" x14ac:dyDescent="0.3">
      <c r="A23" s="22">
        <v>12</v>
      </c>
      <c r="B23" s="199"/>
      <c r="C23" s="42" t="s">
        <v>2508</v>
      </c>
      <c r="D23" s="136" t="s">
        <v>37</v>
      </c>
      <c r="E23" s="142" t="s">
        <v>34</v>
      </c>
      <c r="F23" s="43">
        <v>2708.2139000000002</v>
      </c>
      <c r="G23" s="43">
        <v>2708.2139000000002</v>
      </c>
      <c r="H23" s="43" t="s">
        <v>28</v>
      </c>
      <c r="I23" s="43" t="s">
        <v>28</v>
      </c>
      <c r="J23" s="43" t="s">
        <v>28</v>
      </c>
      <c r="K23" s="45" t="s">
        <v>36</v>
      </c>
    </row>
    <row r="24" spans="1:11" s="6" customFormat="1" ht="137.4" customHeight="1" x14ac:dyDescent="0.3">
      <c r="A24" s="22">
        <v>13</v>
      </c>
      <c r="B24" s="199"/>
      <c r="C24" s="42" t="s">
        <v>2507</v>
      </c>
      <c r="D24" s="136" t="s">
        <v>38</v>
      </c>
      <c r="E24" s="142" t="s">
        <v>34</v>
      </c>
      <c r="F24" s="43">
        <v>1984.8140000000001</v>
      </c>
      <c r="G24" s="43">
        <v>1984.8140000000001</v>
      </c>
      <c r="H24" s="43" t="s">
        <v>28</v>
      </c>
      <c r="I24" s="43" t="s">
        <v>28</v>
      </c>
      <c r="J24" s="43" t="s">
        <v>28</v>
      </c>
      <c r="K24" s="45" t="s">
        <v>36</v>
      </c>
    </row>
    <row r="25" spans="1:11" s="6" customFormat="1" ht="89.4" customHeight="1" x14ac:dyDescent="0.3">
      <c r="A25" s="22">
        <v>14</v>
      </c>
      <c r="B25" s="199"/>
      <c r="C25" s="42" t="s">
        <v>2509</v>
      </c>
      <c r="D25" s="136" t="s">
        <v>39</v>
      </c>
      <c r="E25" s="142" t="s">
        <v>21</v>
      </c>
      <c r="F25" s="43">
        <v>22571.025000000001</v>
      </c>
      <c r="G25" s="43">
        <v>6202.2659999999996</v>
      </c>
      <c r="H25" s="43">
        <v>14873.324000000001</v>
      </c>
      <c r="I25" s="43">
        <v>1495.434</v>
      </c>
      <c r="J25" s="43" t="s">
        <v>28</v>
      </c>
      <c r="K25" s="45" t="s">
        <v>23</v>
      </c>
    </row>
    <row r="26" spans="1:11" s="6" customFormat="1" ht="93.6" customHeight="1" x14ac:dyDescent="0.3">
      <c r="A26" s="22">
        <v>15</v>
      </c>
      <c r="B26" s="199"/>
      <c r="C26" s="42" t="s">
        <v>2502</v>
      </c>
      <c r="D26" s="136" t="s">
        <v>40</v>
      </c>
      <c r="E26" s="142" t="s">
        <v>21</v>
      </c>
      <c r="F26" s="43">
        <v>4959.1899999999996</v>
      </c>
      <c r="G26" s="43">
        <v>4959.1899999999996</v>
      </c>
      <c r="H26" s="43" t="s">
        <v>28</v>
      </c>
      <c r="I26" s="43" t="s">
        <v>28</v>
      </c>
      <c r="J26" s="43" t="s">
        <v>28</v>
      </c>
      <c r="K26" s="45" t="s">
        <v>36</v>
      </c>
    </row>
    <row r="27" spans="1:11" s="6" customFormat="1" ht="68.400000000000006" customHeight="1" x14ac:dyDescent="0.3">
      <c r="A27" s="22">
        <v>16</v>
      </c>
      <c r="B27" s="199"/>
      <c r="C27" s="42" t="s">
        <v>2503</v>
      </c>
      <c r="D27" s="136" t="s">
        <v>41</v>
      </c>
      <c r="E27" s="142" t="s">
        <v>21</v>
      </c>
      <c r="F27" s="43">
        <v>5000</v>
      </c>
      <c r="G27" s="43">
        <v>5000</v>
      </c>
      <c r="H27" s="43" t="s">
        <v>28</v>
      </c>
      <c r="I27" s="43" t="s">
        <v>28</v>
      </c>
      <c r="J27" s="43" t="s">
        <v>28</v>
      </c>
      <c r="K27" s="45" t="s">
        <v>36</v>
      </c>
    </row>
    <row r="28" spans="1:11" s="6" customFormat="1" ht="63" customHeight="1" x14ac:dyDescent="0.3">
      <c r="A28" s="22">
        <v>17</v>
      </c>
      <c r="B28" s="199"/>
      <c r="C28" s="42" t="s">
        <v>2505</v>
      </c>
      <c r="D28" s="136" t="s">
        <v>42</v>
      </c>
      <c r="E28" s="142" t="s">
        <v>21</v>
      </c>
      <c r="F28" s="43">
        <v>4331.4035899999999</v>
      </c>
      <c r="G28" s="43">
        <v>4331.4035899999999</v>
      </c>
      <c r="H28" s="43" t="s">
        <v>28</v>
      </c>
      <c r="I28" s="43" t="s">
        <v>28</v>
      </c>
      <c r="J28" s="43" t="s">
        <v>28</v>
      </c>
      <c r="K28" s="44" t="s">
        <v>23</v>
      </c>
    </row>
    <row r="29" spans="1:11" s="6" customFormat="1" ht="112.8" customHeight="1" x14ac:dyDescent="0.3">
      <c r="A29" s="22">
        <v>18</v>
      </c>
      <c r="B29" s="199"/>
      <c r="C29" s="42" t="s">
        <v>2504</v>
      </c>
      <c r="D29" s="136" t="s">
        <v>43</v>
      </c>
      <c r="E29" s="142" t="s">
        <v>21</v>
      </c>
      <c r="F29" s="43">
        <v>4085.5781999999999</v>
      </c>
      <c r="G29" s="43">
        <v>4085.5781999999999</v>
      </c>
      <c r="H29" s="43" t="s">
        <v>28</v>
      </c>
      <c r="I29" s="43" t="s">
        <v>28</v>
      </c>
      <c r="J29" s="43" t="s">
        <v>28</v>
      </c>
      <c r="K29" s="44" t="s">
        <v>44</v>
      </c>
    </row>
    <row r="30" spans="1:11" s="6" customFormat="1" ht="64.5" customHeight="1" x14ac:dyDescent="0.3">
      <c r="A30" s="22">
        <v>19</v>
      </c>
      <c r="B30" s="199"/>
      <c r="C30" s="42" t="s">
        <v>2506</v>
      </c>
      <c r="D30" s="136" t="s">
        <v>45</v>
      </c>
      <c r="E30" s="142" t="s">
        <v>34</v>
      </c>
      <c r="F30" s="43">
        <v>13633.123</v>
      </c>
      <c r="G30" s="43">
        <v>7968.402</v>
      </c>
      <c r="H30" s="43">
        <v>5664.7209999999995</v>
      </c>
      <c r="I30" s="43" t="s">
        <v>28</v>
      </c>
      <c r="J30" s="43" t="s">
        <v>28</v>
      </c>
      <c r="K30" s="44" t="s">
        <v>23</v>
      </c>
    </row>
    <row r="31" spans="1:11" s="6" customFormat="1" ht="108" customHeight="1" x14ac:dyDescent="0.3">
      <c r="A31" s="22">
        <v>20</v>
      </c>
      <c r="B31" s="199"/>
      <c r="C31" s="42" t="s">
        <v>2512</v>
      </c>
      <c r="D31" s="136" t="s">
        <v>46</v>
      </c>
      <c r="E31" s="142" t="s">
        <v>34</v>
      </c>
      <c r="F31" s="43">
        <v>42546.462</v>
      </c>
      <c r="G31" s="43">
        <v>17154.492999999999</v>
      </c>
      <c r="H31" s="43">
        <v>25391.968000000001</v>
      </c>
      <c r="I31" s="43" t="s">
        <v>28</v>
      </c>
      <c r="J31" s="43" t="s">
        <v>28</v>
      </c>
      <c r="K31" s="44" t="s">
        <v>23</v>
      </c>
    </row>
    <row r="32" spans="1:11" s="6" customFormat="1" ht="119.4" customHeight="1" x14ac:dyDescent="0.3">
      <c r="A32" s="22">
        <v>21</v>
      </c>
      <c r="B32" s="199"/>
      <c r="C32" s="42" t="s">
        <v>2510</v>
      </c>
      <c r="D32" s="136" t="s">
        <v>47</v>
      </c>
      <c r="E32" s="142" t="s">
        <v>34</v>
      </c>
      <c r="F32" s="43">
        <v>61396.470999999998</v>
      </c>
      <c r="G32" s="43">
        <v>61396.470999999998</v>
      </c>
      <c r="H32" s="43" t="s">
        <v>28</v>
      </c>
      <c r="I32" s="43" t="s">
        <v>28</v>
      </c>
      <c r="J32" s="43" t="s">
        <v>28</v>
      </c>
      <c r="K32" s="44" t="s">
        <v>23</v>
      </c>
    </row>
    <row r="33" spans="1:11" s="6" customFormat="1" ht="90" customHeight="1" x14ac:dyDescent="0.3">
      <c r="A33" s="22">
        <v>22</v>
      </c>
      <c r="B33" s="199"/>
      <c r="C33" s="42" t="s">
        <v>2511</v>
      </c>
      <c r="D33" s="136" t="s">
        <v>48</v>
      </c>
      <c r="E33" s="142" t="s">
        <v>34</v>
      </c>
      <c r="F33" s="43">
        <v>30156.103999999999</v>
      </c>
      <c r="G33" s="43">
        <v>30156.103999999999</v>
      </c>
      <c r="H33" s="43" t="s">
        <v>28</v>
      </c>
      <c r="I33" s="43" t="s">
        <v>28</v>
      </c>
      <c r="J33" s="43" t="s">
        <v>28</v>
      </c>
      <c r="K33" s="45" t="s">
        <v>23</v>
      </c>
    </row>
    <row r="34" spans="1:11" s="6" customFormat="1" ht="35.4" customHeight="1" x14ac:dyDescent="0.3">
      <c r="A34" s="22">
        <v>23</v>
      </c>
      <c r="B34" s="199"/>
      <c r="C34" s="42" t="s">
        <v>2513</v>
      </c>
      <c r="D34" s="136" t="s">
        <v>49</v>
      </c>
      <c r="E34" s="142" t="s">
        <v>21</v>
      </c>
      <c r="F34" s="43">
        <v>4511.5095600000004</v>
      </c>
      <c r="G34" s="43" t="s">
        <v>28</v>
      </c>
      <c r="H34" s="43">
        <v>4511.5095600000004</v>
      </c>
      <c r="I34" s="43" t="s">
        <v>28</v>
      </c>
      <c r="J34" s="43" t="s">
        <v>28</v>
      </c>
      <c r="K34" s="45" t="s">
        <v>50</v>
      </c>
    </row>
    <row r="35" spans="1:11" s="6" customFormat="1" ht="86.4" customHeight="1" x14ac:dyDescent="0.3">
      <c r="A35" s="22">
        <v>24</v>
      </c>
      <c r="B35" s="199"/>
      <c r="C35" s="42" t="s">
        <v>2514</v>
      </c>
      <c r="D35" s="136" t="s">
        <v>51</v>
      </c>
      <c r="E35" s="142" t="s">
        <v>21</v>
      </c>
      <c r="F35" s="43">
        <v>172.95</v>
      </c>
      <c r="G35" s="43" t="s">
        <v>28</v>
      </c>
      <c r="H35" s="43">
        <v>172.95</v>
      </c>
      <c r="I35" s="43" t="s">
        <v>28</v>
      </c>
      <c r="J35" s="43" t="s">
        <v>28</v>
      </c>
      <c r="K35" s="45" t="s">
        <v>50</v>
      </c>
    </row>
    <row r="36" spans="1:11" s="6" customFormat="1" ht="61.2" customHeight="1" x14ac:dyDescent="0.3">
      <c r="A36" s="22">
        <v>25</v>
      </c>
      <c r="B36" s="199"/>
      <c r="C36" s="42" t="s">
        <v>2515</v>
      </c>
      <c r="D36" s="136" t="s">
        <v>52</v>
      </c>
      <c r="E36" s="142" t="s">
        <v>21</v>
      </c>
      <c r="F36" s="43">
        <v>900</v>
      </c>
      <c r="G36" s="43" t="s">
        <v>28</v>
      </c>
      <c r="H36" s="43">
        <v>810</v>
      </c>
      <c r="I36" s="43">
        <v>90</v>
      </c>
      <c r="J36" s="43" t="s">
        <v>28</v>
      </c>
      <c r="K36" s="45" t="s">
        <v>50</v>
      </c>
    </row>
    <row r="37" spans="1:11" s="6" customFormat="1" ht="29.25" customHeight="1" x14ac:dyDescent="0.3">
      <c r="A37" s="22">
        <v>26</v>
      </c>
      <c r="B37" s="199"/>
      <c r="C37" s="42" t="s">
        <v>2516</v>
      </c>
      <c r="D37" s="136" t="s">
        <v>53</v>
      </c>
      <c r="E37" s="142" t="s">
        <v>21</v>
      </c>
      <c r="F37" s="43">
        <v>880.23</v>
      </c>
      <c r="G37" s="43" t="s">
        <v>28</v>
      </c>
      <c r="H37" s="43">
        <v>880.23</v>
      </c>
      <c r="I37" s="43" t="s">
        <v>28</v>
      </c>
      <c r="J37" s="43" t="s">
        <v>28</v>
      </c>
      <c r="K37" s="45" t="s">
        <v>50</v>
      </c>
    </row>
    <row r="38" spans="1:11" s="6" customFormat="1" ht="43.5" customHeight="1" x14ac:dyDescent="0.3">
      <c r="A38" s="22">
        <v>27</v>
      </c>
      <c r="B38" s="199"/>
      <c r="C38" s="42" t="s">
        <v>2517</v>
      </c>
      <c r="D38" s="136" t="s">
        <v>54</v>
      </c>
      <c r="E38" s="142" t="s">
        <v>21</v>
      </c>
      <c r="F38" s="43">
        <v>757.45</v>
      </c>
      <c r="G38" s="43">
        <v>757.45</v>
      </c>
      <c r="H38" s="43" t="s">
        <v>28</v>
      </c>
      <c r="I38" s="43" t="s">
        <v>28</v>
      </c>
      <c r="J38" s="43" t="s">
        <v>28</v>
      </c>
      <c r="K38" s="45" t="s">
        <v>55</v>
      </c>
    </row>
    <row r="39" spans="1:11" s="6" customFormat="1" ht="91.8" customHeight="1" x14ac:dyDescent="0.3">
      <c r="A39" s="22">
        <v>28</v>
      </c>
      <c r="B39" s="199"/>
      <c r="C39" s="42" t="s">
        <v>2518</v>
      </c>
      <c r="D39" s="136" t="s">
        <v>56</v>
      </c>
      <c r="E39" s="142" t="s">
        <v>21</v>
      </c>
      <c r="F39" s="43">
        <v>1008.33107</v>
      </c>
      <c r="G39" s="43">
        <v>1008.33107</v>
      </c>
      <c r="H39" s="43" t="s">
        <v>28</v>
      </c>
      <c r="I39" s="43" t="s">
        <v>28</v>
      </c>
      <c r="J39" s="43" t="s">
        <v>28</v>
      </c>
      <c r="K39" s="45" t="s">
        <v>55</v>
      </c>
    </row>
    <row r="40" spans="1:11" s="6" customFormat="1" ht="19.2" customHeight="1" x14ac:dyDescent="0.3">
      <c r="A40" s="220" t="s">
        <v>57</v>
      </c>
      <c r="B40" s="221"/>
      <c r="C40" s="221"/>
      <c r="D40" s="221"/>
      <c r="E40" s="90"/>
      <c r="F40" s="91">
        <f>SUM(F16:F39)</f>
        <v>212512.98636000001</v>
      </c>
      <c r="G40" s="91">
        <f>SUM(G16:G39)</f>
        <v>158622.84779999999</v>
      </c>
      <c r="H40" s="91">
        <f>SUM(H16:H39)</f>
        <v>52304.702559999998</v>
      </c>
      <c r="I40" s="91">
        <f>SUM(I16:I39)</f>
        <v>1585.434</v>
      </c>
      <c r="J40" s="43" t="s">
        <v>28</v>
      </c>
      <c r="K40" s="92"/>
    </row>
    <row r="41" spans="1:11" s="6" customFormat="1" ht="33" customHeight="1" x14ac:dyDescent="0.3">
      <c r="A41" s="22">
        <v>29</v>
      </c>
      <c r="B41" s="198" t="s">
        <v>66</v>
      </c>
      <c r="C41" s="42" t="s">
        <v>2519</v>
      </c>
      <c r="D41" s="136" t="s">
        <v>49</v>
      </c>
      <c r="E41" s="142" t="s">
        <v>21</v>
      </c>
      <c r="F41" s="43">
        <v>4523.8613999999998</v>
      </c>
      <c r="G41" s="43" t="s">
        <v>28</v>
      </c>
      <c r="H41" s="43" t="s">
        <v>28</v>
      </c>
      <c r="I41" s="43">
        <v>4523.8613999999998</v>
      </c>
      <c r="J41" s="43" t="s">
        <v>28</v>
      </c>
      <c r="K41" s="45" t="s">
        <v>58</v>
      </c>
    </row>
    <row r="42" spans="1:11" s="6" customFormat="1" ht="75.599999999999994" customHeight="1" x14ac:dyDescent="0.3">
      <c r="A42" s="22">
        <v>30</v>
      </c>
      <c r="B42" s="199"/>
      <c r="C42" s="42" t="s">
        <v>2520</v>
      </c>
      <c r="D42" s="136" t="s">
        <v>51</v>
      </c>
      <c r="E42" s="142" t="s">
        <v>21</v>
      </c>
      <c r="F42" s="43">
        <v>172.95</v>
      </c>
      <c r="G42" s="43" t="s">
        <v>28</v>
      </c>
      <c r="H42" s="43" t="s">
        <v>28</v>
      </c>
      <c r="I42" s="43">
        <v>172.95</v>
      </c>
      <c r="J42" s="43" t="s">
        <v>28</v>
      </c>
      <c r="K42" s="45" t="s">
        <v>58</v>
      </c>
    </row>
    <row r="43" spans="1:11" s="6" customFormat="1" ht="66.599999999999994" customHeight="1" x14ac:dyDescent="0.3">
      <c r="A43" s="22">
        <v>31</v>
      </c>
      <c r="B43" s="199"/>
      <c r="C43" s="42" t="s">
        <v>2521</v>
      </c>
      <c r="D43" s="136" t="s">
        <v>52</v>
      </c>
      <c r="E43" s="142" t="s">
        <v>21</v>
      </c>
      <c r="F43" s="43">
        <v>810</v>
      </c>
      <c r="G43" s="43" t="s">
        <v>28</v>
      </c>
      <c r="H43" s="43" t="s">
        <v>28</v>
      </c>
      <c r="I43" s="43">
        <v>810</v>
      </c>
      <c r="J43" s="43" t="s">
        <v>28</v>
      </c>
      <c r="K43" s="45" t="s">
        <v>58</v>
      </c>
    </row>
    <row r="44" spans="1:11" s="6" customFormat="1" ht="51.6" customHeight="1" x14ac:dyDescent="0.3">
      <c r="A44" s="22">
        <v>32</v>
      </c>
      <c r="B44" s="199"/>
      <c r="C44" s="42" t="s">
        <v>2522</v>
      </c>
      <c r="D44" s="136" t="s">
        <v>53</v>
      </c>
      <c r="E44" s="142" t="s">
        <v>21</v>
      </c>
      <c r="F44" s="43">
        <v>879.45</v>
      </c>
      <c r="G44" s="43" t="s">
        <v>28</v>
      </c>
      <c r="H44" s="43" t="s">
        <v>28</v>
      </c>
      <c r="I44" s="43">
        <v>879.45</v>
      </c>
      <c r="J44" s="43" t="s">
        <v>28</v>
      </c>
      <c r="K44" s="45" t="s">
        <v>58</v>
      </c>
    </row>
    <row r="45" spans="1:11" s="6" customFormat="1" ht="43.5" customHeight="1" x14ac:dyDescent="0.3">
      <c r="A45" s="22">
        <v>33</v>
      </c>
      <c r="B45" s="199"/>
      <c r="C45" s="42" t="s">
        <v>2523</v>
      </c>
      <c r="D45" s="136" t="s">
        <v>54</v>
      </c>
      <c r="E45" s="142" t="s">
        <v>21</v>
      </c>
      <c r="F45" s="43">
        <v>757.45</v>
      </c>
      <c r="G45" s="43" t="s">
        <v>28</v>
      </c>
      <c r="H45" s="43">
        <v>757.45</v>
      </c>
      <c r="I45" s="43" t="s">
        <v>28</v>
      </c>
      <c r="J45" s="43" t="s">
        <v>28</v>
      </c>
      <c r="K45" s="45" t="s">
        <v>59</v>
      </c>
    </row>
    <row r="46" spans="1:11" s="6" customFormat="1" ht="100.2" customHeight="1" x14ac:dyDescent="0.3">
      <c r="A46" s="22">
        <v>34</v>
      </c>
      <c r="B46" s="199"/>
      <c r="C46" s="42" t="s">
        <v>2524</v>
      </c>
      <c r="D46" s="136" t="s">
        <v>56</v>
      </c>
      <c r="E46" s="142" t="s">
        <v>21</v>
      </c>
      <c r="F46" s="43">
        <v>1008.33107</v>
      </c>
      <c r="G46" s="43" t="s">
        <v>28</v>
      </c>
      <c r="H46" s="43">
        <v>1008.33107</v>
      </c>
      <c r="I46" s="43" t="s">
        <v>28</v>
      </c>
      <c r="J46" s="43" t="s">
        <v>28</v>
      </c>
      <c r="K46" s="45" t="s">
        <v>59</v>
      </c>
    </row>
    <row r="47" spans="1:11" s="6" customFormat="1" ht="37.950000000000003" customHeight="1" x14ac:dyDescent="0.3">
      <c r="A47" s="22">
        <v>35</v>
      </c>
      <c r="B47" s="199"/>
      <c r="C47" s="42" t="s">
        <v>2525</v>
      </c>
      <c r="D47" s="136" t="s">
        <v>60</v>
      </c>
      <c r="E47" s="142" t="s">
        <v>21</v>
      </c>
      <c r="F47" s="43">
        <v>35.76</v>
      </c>
      <c r="G47" s="43" t="s">
        <v>28</v>
      </c>
      <c r="H47" s="43">
        <v>35.76</v>
      </c>
      <c r="I47" s="43" t="s">
        <v>28</v>
      </c>
      <c r="J47" s="43" t="s">
        <v>28</v>
      </c>
      <c r="K47" s="45" t="s">
        <v>61</v>
      </c>
    </row>
    <row r="48" spans="1:11" s="6" customFormat="1" ht="21.6" customHeight="1" x14ac:dyDescent="0.3">
      <c r="A48" s="222" t="s">
        <v>62</v>
      </c>
      <c r="B48" s="223"/>
      <c r="C48" s="223"/>
      <c r="D48" s="223"/>
      <c r="E48" s="142"/>
      <c r="F48" s="91">
        <f>SUM(F41:F47)</f>
        <v>8187.8024699999996</v>
      </c>
      <c r="G48" s="91" t="s">
        <v>28</v>
      </c>
      <c r="H48" s="91">
        <f>SUM(H45:H47)</f>
        <v>1801.54107</v>
      </c>
      <c r="I48" s="91">
        <f>SUM(I41:I47)</f>
        <v>6386.2613999999994</v>
      </c>
      <c r="J48" s="43" t="s">
        <v>28</v>
      </c>
      <c r="K48" s="45"/>
    </row>
    <row r="49" spans="1:11" s="6" customFormat="1" ht="46.8" customHeight="1" x14ac:dyDescent="0.3">
      <c r="A49" s="93">
        <v>36</v>
      </c>
      <c r="B49" s="198" t="s">
        <v>66</v>
      </c>
      <c r="C49" s="42" t="s">
        <v>2526</v>
      </c>
      <c r="D49" s="136" t="s">
        <v>60</v>
      </c>
      <c r="E49" s="142" t="s">
        <v>21</v>
      </c>
      <c r="F49" s="43">
        <v>35.76</v>
      </c>
      <c r="G49" s="43" t="s">
        <v>28</v>
      </c>
      <c r="H49" s="43" t="s">
        <v>28</v>
      </c>
      <c r="I49" s="43">
        <v>35.76</v>
      </c>
      <c r="J49" s="43" t="s">
        <v>28</v>
      </c>
      <c r="K49" s="45" t="s">
        <v>63</v>
      </c>
    </row>
    <row r="50" spans="1:11" s="6" customFormat="1" ht="47.4" customHeight="1" x14ac:dyDescent="0.3">
      <c r="A50" s="93">
        <v>37</v>
      </c>
      <c r="B50" s="199"/>
      <c r="C50" s="42" t="s">
        <v>2527</v>
      </c>
      <c r="D50" s="136" t="s">
        <v>54</v>
      </c>
      <c r="E50" s="142" t="s">
        <v>21</v>
      </c>
      <c r="F50" s="43">
        <v>757.45</v>
      </c>
      <c r="G50" s="43" t="s">
        <v>28</v>
      </c>
      <c r="H50" s="43" t="s">
        <v>28</v>
      </c>
      <c r="I50" s="43">
        <v>757.45</v>
      </c>
      <c r="J50" s="43" t="s">
        <v>28</v>
      </c>
      <c r="K50" s="45" t="s">
        <v>64</v>
      </c>
    </row>
    <row r="51" spans="1:11" s="6" customFormat="1" ht="99" customHeight="1" x14ac:dyDescent="0.3">
      <c r="A51" s="93">
        <v>38</v>
      </c>
      <c r="B51" s="199"/>
      <c r="C51" s="42" t="s">
        <v>2528</v>
      </c>
      <c r="D51" s="136" t="s">
        <v>56</v>
      </c>
      <c r="E51" s="142" t="s">
        <v>21</v>
      </c>
      <c r="F51" s="43">
        <v>1008.33107</v>
      </c>
      <c r="G51" s="43" t="s">
        <v>28</v>
      </c>
      <c r="H51" s="43" t="s">
        <v>28</v>
      </c>
      <c r="I51" s="43">
        <v>1008.33107</v>
      </c>
      <c r="J51" s="43" t="s">
        <v>28</v>
      </c>
      <c r="K51" s="45" t="s">
        <v>64</v>
      </c>
    </row>
    <row r="52" spans="1:11" s="6" customFormat="1" ht="17.399999999999999" customHeight="1" x14ac:dyDescent="0.3">
      <c r="A52" s="222" t="s">
        <v>19</v>
      </c>
      <c r="B52" s="223"/>
      <c r="C52" s="223"/>
      <c r="D52" s="223"/>
      <c r="E52" s="94"/>
      <c r="F52" s="91">
        <f>SUM(F49:F51)</f>
        <v>1801.54107</v>
      </c>
      <c r="G52" s="91" t="s">
        <v>28</v>
      </c>
      <c r="H52" s="91" t="s">
        <v>28</v>
      </c>
      <c r="I52" s="91">
        <f>SUM(I49:I51)</f>
        <v>1801.54107</v>
      </c>
      <c r="J52" s="43" t="s">
        <v>28</v>
      </c>
      <c r="K52" s="45"/>
    </row>
    <row r="53" spans="1:11" s="7" customFormat="1" ht="35.25" customHeight="1" x14ac:dyDescent="0.3">
      <c r="A53" s="95">
        <v>39</v>
      </c>
      <c r="B53" s="196" t="s">
        <v>67</v>
      </c>
      <c r="C53" s="96" t="s">
        <v>68</v>
      </c>
      <c r="D53" s="149" t="s">
        <v>49</v>
      </c>
      <c r="E53" s="149" t="s">
        <v>12</v>
      </c>
      <c r="F53" s="66">
        <f>2134080/1000</f>
        <v>2134.08</v>
      </c>
      <c r="G53" s="66">
        <f>1874880/1000</f>
        <v>1874.88</v>
      </c>
      <c r="H53" s="66">
        <f>259200/1000</f>
        <v>259.2</v>
      </c>
      <c r="I53" s="66">
        <v>0</v>
      </c>
      <c r="J53" s="66">
        <v>0</v>
      </c>
      <c r="K53" s="96" t="s">
        <v>69</v>
      </c>
    </row>
    <row r="54" spans="1:11" s="7" customFormat="1" ht="35.25" customHeight="1" x14ac:dyDescent="0.3">
      <c r="A54" s="95">
        <v>40</v>
      </c>
      <c r="B54" s="196"/>
      <c r="C54" s="96" t="s">
        <v>70</v>
      </c>
      <c r="D54" s="149" t="s">
        <v>71</v>
      </c>
      <c r="E54" s="149" t="s">
        <v>12</v>
      </c>
      <c r="F54" s="66">
        <f>1150000/1000</f>
        <v>1150</v>
      </c>
      <c r="G54" s="66">
        <f>1150000/1000</f>
        <v>1150</v>
      </c>
      <c r="H54" s="66">
        <v>0</v>
      </c>
      <c r="I54" s="66">
        <v>0</v>
      </c>
      <c r="J54" s="66">
        <v>0</v>
      </c>
      <c r="K54" s="96" t="s">
        <v>72</v>
      </c>
    </row>
    <row r="55" spans="1:11" s="8" customFormat="1" ht="17.399999999999999" customHeight="1" x14ac:dyDescent="0.3">
      <c r="A55" s="194" t="s">
        <v>57</v>
      </c>
      <c r="B55" s="194"/>
      <c r="C55" s="194"/>
      <c r="D55" s="194"/>
      <c r="E55" s="97"/>
      <c r="F55" s="67"/>
      <c r="G55" s="67">
        <f>SUM(G53:G54)</f>
        <v>3024.88</v>
      </c>
      <c r="H55" s="67"/>
      <c r="I55" s="67"/>
      <c r="J55" s="67"/>
      <c r="K55" s="97"/>
    </row>
    <row r="56" spans="1:11" s="8" customFormat="1" ht="12.6" customHeight="1" x14ac:dyDescent="0.3">
      <c r="A56" s="194" t="s">
        <v>62</v>
      </c>
      <c r="B56" s="195"/>
      <c r="C56" s="195"/>
      <c r="D56" s="195"/>
      <c r="E56" s="97"/>
      <c r="F56" s="67"/>
      <c r="G56" s="67"/>
      <c r="H56" s="67">
        <f>SUM(H53:H54)</f>
        <v>259.2</v>
      </c>
      <c r="I56" s="67"/>
      <c r="J56" s="67"/>
      <c r="K56" s="97"/>
    </row>
    <row r="57" spans="1:11" s="8" customFormat="1" ht="16.2" customHeight="1" x14ac:dyDescent="0.3">
      <c r="A57" s="194" t="s">
        <v>19</v>
      </c>
      <c r="B57" s="195"/>
      <c r="C57" s="195"/>
      <c r="D57" s="195"/>
      <c r="E57" s="97"/>
      <c r="F57" s="67"/>
      <c r="G57" s="67"/>
      <c r="H57" s="67"/>
      <c r="I57" s="67">
        <f>SUM(I53:I54)</f>
        <v>0</v>
      </c>
      <c r="J57" s="67"/>
      <c r="K57" s="97"/>
    </row>
    <row r="58" spans="1:11" s="7" customFormat="1" ht="47.4" customHeight="1" x14ac:dyDescent="0.3">
      <c r="A58" s="95">
        <v>41</v>
      </c>
      <c r="B58" s="196" t="s">
        <v>73</v>
      </c>
      <c r="C58" s="96" t="s">
        <v>74</v>
      </c>
      <c r="D58" s="149" t="s">
        <v>75</v>
      </c>
      <c r="E58" s="149" t="s">
        <v>12</v>
      </c>
      <c r="F58" s="66">
        <f>15000000/1000</f>
        <v>15000</v>
      </c>
      <c r="G58" s="66">
        <f>15000000/1000</f>
        <v>15000</v>
      </c>
      <c r="H58" s="66">
        <v>0</v>
      </c>
      <c r="I58" s="66">
        <v>0</v>
      </c>
      <c r="J58" s="66">
        <v>0</v>
      </c>
      <c r="K58" s="96" t="s">
        <v>76</v>
      </c>
    </row>
    <row r="59" spans="1:11" s="7" customFormat="1" ht="52.8" x14ac:dyDescent="0.3">
      <c r="A59" s="95">
        <v>42</v>
      </c>
      <c r="B59" s="196"/>
      <c r="C59" s="96" t="s">
        <v>77</v>
      </c>
      <c r="D59" s="149" t="s">
        <v>78</v>
      </c>
      <c r="E59" s="149" t="s">
        <v>12</v>
      </c>
      <c r="F59" s="66">
        <v>1480</v>
      </c>
      <c r="G59" s="66">
        <v>1480</v>
      </c>
      <c r="H59" s="66">
        <v>0</v>
      </c>
      <c r="I59" s="66">
        <v>0</v>
      </c>
      <c r="J59" s="66">
        <v>0</v>
      </c>
      <c r="K59" s="96" t="s">
        <v>72</v>
      </c>
    </row>
    <row r="60" spans="1:11" s="7" customFormat="1" ht="19.2" customHeight="1" x14ac:dyDescent="0.3">
      <c r="A60" s="194" t="s">
        <v>57</v>
      </c>
      <c r="B60" s="194"/>
      <c r="C60" s="194"/>
      <c r="D60" s="194"/>
      <c r="E60" s="149"/>
      <c r="F60" s="66"/>
      <c r="G60" s="67">
        <f>SUM(G58:G59)</f>
        <v>16480</v>
      </c>
      <c r="H60" s="67"/>
      <c r="I60" s="67"/>
      <c r="J60" s="66"/>
      <c r="K60" s="149"/>
    </row>
    <row r="61" spans="1:11" s="7" customFormat="1" ht="21" customHeight="1" x14ac:dyDescent="0.3">
      <c r="A61" s="194" t="s">
        <v>62</v>
      </c>
      <c r="B61" s="195"/>
      <c r="C61" s="195"/>
      <c r="D61" s="195"/>
      <c r="E61" s="149"/>
      <c r="F61" s="66"/>
      <c r="G61" s="67"/>
      <c r="H61" s="67">
        <f>SUM(H58:H60)</f>
        <v>0</v>
      </c>
      <c r="I61" s="67"/>
      <c r="J61" s="66"/>
      <c r="K61" s="149"/>
    </row>
    <row r="62" spans="1:11" s="7" customFormat="1" ht="18.600000000000001" customHeight="1" x14ac:dyDescent="0.3">
      <c r="A62" s="194" t="s">
        <v>19</v>
      </c>
      <c r="B62" s="195"/>
      <c r="C62" s="195"/>
      <c r="D62" s="195"/>
      <c r="E62" s="149"/>
      <c r="F62" s="66"/>
      <c r="G62" s="67"/>
      <c r="H62" s="67"/>
      <c r="I62" s="67">
        <f>SUM(I58:I59)</f>
        <v>0</v>
      </c>
      <c r="J62" s="66"/>
      <c r="K62" s="149"/>
    </row>
    <row r="63" spans="1:11" s="7" customFormat="1" ht="43.2" customHeight="1" x14ac:dyDescent="0.3">
      <c r="A63" s="95">
        <v>43</v>
      </c>
      <c r="B63" s="196" t="s">
        <v>79</v>
      </c>
      <c r="C63" s="96" t="s">
        <v>80</v>
      </c>
      <c r="D63" s="149" t="s">
        <v>81</v>
      </c>
      <c r="E63" s="149" t="s">
        <v>12</v>
      </c>
      <c r="F63" s="66">
        <f>300000/1000</f>
        <v>300</v>
      </c>
      <c r="G63" s="66">
        <f>300000/1000</f>
        <v>300</v>
      </c>
      <c r="H63" s="66">
        <v>0</v>
      </c>
      <c r="I63" s="66">
        <v>0</v>
      </c>
      <c r="J63" s="66">
        <v>0</v>
      </c>
      <c r="K63" s="96" t="s">
        <v>72</v>
      </c>
    </row>
    <row r="64" spans="1:11" s="7" customFormat="1" ht="74.400000000000006" customHeight="1" x14ac:dyDescent="0.3">
      <c r="A64" s="95">
        <v>44</v>
      </c>
      <c r="B64" s="196"/>
      <c r="C64" s="96" t="s">
        <v>82</v>
      </c>
      <c r="D64" s="149" t="s">
        <v>83</v>
      </c>
      <c r="E64" s="149" t="s">
        <v>12</v>
      </c>
      <c r="F64" s="66">
        <f>500000/1000</f>
        <v>500</v>
      </c>
      <c r="G64" s="66">
        <f>500000/1000</f>
        <v>500</v>
      </c>
      <c r="H64" s="66">
        <v>0</v>
      </c>
      <c r="I64" s="66">
        <v>0</v>
      </c>
      <c r="J64" s="66">
        <v>0</v>
      </c>
      <c r="K64" s="96" t="s">
        <v>72</v>
      </c>
    </row>
    <row r="65" spans="1:11" s="7" customFormat="1" ht="26.4" x14ac:dyDescent="0.3">
      <c r="A65" s="95">
        <v>45</v>
      </c>
      <c r="B65" s="196"/>
      <c r="C65" s="96" t="s">
        <v>84</v>
      </c>
      <c r="D65" s="149" t="s">
        <v>85</v>
      </c>
      <c r="E65" s="149" t="s">
        <v>12</v>
      </c>
      <c r="F65" s="66">
        <v>800</v>
      </c>
      <c r="G65" s="66">
        <v>800</v>
      </c>
      <c r="H65" s="66">
        <v>0</v>
      </c>
      <c r="I65" s="66">
        <v>0</v>
      </c>
      <c r="J65" s="66">
        <v>0</v>
      </c>
      <c r="K65" s="96" t="s">
        <v>72</v>
      </c>
    </row>
    <row r="66" spans="1:11" s="7" customFormat="1" ht="26.4" x14ac:dyDescent="0.3">
      <c r="A66" s="95">
        <v>46</v>
      </c>
      <c r="B66" s="196"/>
      <c r="C66" s="96" t="s">
        <v>86</v>
      </c>
      <c r="D66" s="149" t="s">
        <v>85</v>
      </c>
      <c r="E66" s="149" t="s">
        <v>12</v>
      </c>
      <c r="F66" s="66">
        <v>1000</v>
      </c>
      <c r="G66" s="66">
        <v>1000</v>
      </c>
      <c r="H66" s="66">
        <v>0</v>
      </c>
      <c r="I66" s="66">
        <v>0</v>
      </c>
      <c r="J66" s="66">
        <v>0</v>
      </c>
      <c r="K66" s="96" t="s">
        <v>72</v>
      </c>
    </row>
    <row r="67" spans="1:11" s="7" customFormat="1" ht="72.599999999999994" customHeight="1" x14ac:dyDescent="0.3">
      <c r="A67" s="95">
        <v>47</v>
      </c>
      <c r="B67" s="196"/>
      <c r="C67" s="96" t="s">
        <v>87</v>
      </c>
      <c r="D67" s="149" t="s">
        <v>88</v>
      </c>
      <c r="E67" s="149" t="s">
        <v>12</v>
      </c>
      <c r="F67" s="66">
        <f>1540624.8/1000</f>
        <v>1540.6248000000001</v>
      </c>
      <c r="G67" s="66">
        <f>1540624.8/1000</f>
        <v>1540.6248000000001</v>
      </c>
      <c r="H67" s="66">
        <v>0</v>
      </c>
      <c r="I67" s="66">
        <v>0</v>
      </c>
      <c r="J67" s="66">
        <v>0</v>
      </c>
      <c r="K67" s="96" t="s">
        <v>72</v>
      </c>
    </row>
    <row r="68" spans="1:11" s="7" customFormat="1" ht="19.2" customHeight="1" x14ac:dyDescent="0.3">
      <c r="A68" s="194" t="s">
        <v>57</v>
      </c>
      <c r="B68" s="194"/>
      <c r="C68" s="194"/>
      <c r="D68" s="194"/>
      <c r="E68" s="149"/>
      <c r="F68" s="66"/>
      <c r="G68" s="67">
        <f>SUM(G63:G67)</f>
        <v>4140.6247999999996</v>
      </c>
      <c r="H68" s="66">
        <v>0</v>
      </c>
      <c r="I68" s="66">
        <v>0</v>
      </c>
      <c r="J68" s="66">
        <v>0</v>
      </c>
      <c r="K68" s="149"/>
    </row>
    <row r="69" spans="1:11" s="7" customFormat="1" ht="19.2" customHeight="1" x14ac:dyDescent="0.3">
      <c r="A69" s="194" t="s">
        <v>62</v>
      </c>
      <c r="B69" s="195"/>
      <c r="C69" s="195"/>
      <c r="D69" s="195"/>
      <c r="E69" s="149"/>
      <c r="F69" s="66"/>
      <c r="G69" s="67"/>
      <c r="H69" s="66">
        <v>0</v>
      </c>
      <c r="I69" s="66">
        <v>0</v>
      </c>
      <c r="J69" s="66">
        <v>0</v>
      </c>
      <c r="K69" s="149"/>
    </row>
    <row r="70" spans="1:11" s="7" customFormat="1" ht="17.399999999999999" customHeight="1" x14ac:dyDescent="0.3">
      <c r="A70" s="194" t="s">
        <v>19</v>
      </c>
      <c r="B70" s="195"/>
      <c r="C70" s="195"/>
      <c r="D70" s="195"/>
      <c r="E70" s="149"/>
      <c r="F70" s="66"/>
      <c r="G70" s="67"/>
      <c r="H70" s="66">
        <v>0</v>
      </c>
      <c r="I70" s="66">
        <v>0</v>
      </c>
      <c r="J70" s="66">
        <v>0</v>
      </c>
      <c r="K70" s="149"/>
    </row>
    <row r="71" spans="1:11" s="7" customFormat="1" ht="37.200000000000003" customHeight="1" x14ac:dyDescent="0.3">
      <c r="A71" s="95">
        <v>48</v>
      </c>
      <c r="B71" s="196" t="s">
        <v>89</v>
      </c>
      <c r="C71" s="96" t="s">
        <v>90</v>
      </c>
      <c r="D71" s="149" t="s">
        <v>91</v>
      </c>
      <c r="E71" s="149" t="s">
        <v>12</v>
      </c>
      <c r="F71" s="66">
        <f>292845/1000</f>
        <v>292.84500000000003</v>
      </c>
      <c r="G71" s="66">
        <f>292845/1000</f>
        <v>292.84500000000003</v>
      </c>
      <c r="H71" s="66">
        <v>0</v>
      </c>
      <c r="I71" s="66">
        <v>0</v>
      </c>
      <c r="J71" s="66">
        <v>0</v>
      </c>
      <c r="K71" s="96" t="s">
        <v>72</v>
      </c>
    </row>
    <row r="72" spans="1:11" s="7" customFormat="1" ht="65.400000000000006" customHeight="1" x14ac:dyDescent="0.3">
      <c r="A72" s="95">
        <v>49</v>
      </c>
      <c r="B72" s="196"/>
      <c r="C72" s="96" t="s">
        <v>92</v>
      </c>
      <c r="D72" s="149" t="s">
        <v>93</v>
      </c>
      <c r="E72" s="149" t="s">
        <v>12</v>
      </c>
      <c r="F72" s="66">
        <f>999584.16/1000</f>
        <v>999.58416</v>
      </c>
      <c r="G72" s="66">
        <f>999584.16/1000</f>
        <v>999.58416</v>
      </c>
      <c r="H72" s="66">
        <v>0</v>
      </c>
      <c r="I72" s="66">
        <v>0</v>
      </c>
      <c r="J72" s="66">
        <v>0</v>
      </c>
      <c r="K72" s="96" t="s">
        <v>72</v>
      </c>
    </row>
    <row r="73" spans="1:11" s="7" customFormat="1" ht="19.95" customHeight="1" x14ac:dyDescent="0.3">
      <c r="A73" s="194" t="s">
        <v>57</v>
      </c>
      <c r="B73" s="194"/>
      <c r="C73" s="194"/>
      <c r="D73" s="194"/>
      <c r="E73" s="149"/>
      <c r="F73" s="66"/>
      <c r="G73" s="67">
        <f>SUM(G71:G72)</f>
        <v>1292.4291600000001</v>
      </c>
      <c r="H73" s="66">
        <v>0</v>
      </c>
      <c r="I73" s="66">
        <v>0</v>
      </c>
      <c r="J73" s="66">
        <v>0</v>
      </c>
      <c r="K73" s="149"/>
    </row>
    <row r="74" spans="1:11" s="7" customFormat="1" ht="16.2" customHeight="1" x14ac:dyDescent="0.3">
      <c r="A74" s="194" t="s">
        <v>62</v>
      </c>
      <c r="B74" s="195"/>
      <c r="C74" s="195"/>
      <c r="D74" s="195"/>
      <c r="E74" s="149"/>
      <c r="F74" s="66"/>
      <c r="G74" s="67"/>
      <c r="H74" s="66">
        <v>0</v>
      </c>
      <c r="I74" s="66">
        <v>0</v>
      </c>
      <c r="J74" s="66">
        <v>0</v>
      </c>
      <c r="K74" s="149"/>
    </row>
    <row r="75" spans="1:11" s="7" customFormat="1" ht="17.399999999999999" customHeight="1" x14ac:dyDescent="0.3">
      <c r="A75" s="194" t="s">
        <v>19</v>
      </c>
      <c r="B75" s="195"/>
      <c r="C75" s="195"/>
      <c r="D75" s="195"/>
      <c r="E75" s="149"/>
      <c r="F75" s="66"/>
      <c r="G75" s="67"/>
      <c r="H75" s="66">
        <v>0</v>
      </c>
      <c r="I75" s="66">
        <v>0</v>
      </c>
      <c r="J75" s="66">
        <v>0</v>
      </c>
      <c r="K75" s="149"/>
    </row>
    <row r="76" spans="1:11" s="7" customFormat="1" ht="87" customHeight="1" x14ac:dyDescent="0.3">
      <c r="A76" s="95">
        <v>50</v>
      </c>
      <c r="B76" s="196" t="s">
        <v>94</v>
      </c>
      <c r="C76" s="96" t="s">
        <v>95</v>
      </c>
      <c r="D76" s="149" t="s">
        <v>96</v>
      </c>
      <c r="E76" s="149" t="s">
        <v>12</v>
      </c>
      <c r="F76" s="66">
        <f>178282/1000</f>
        <v>178.28200000000001</v>
      </c>
      <c r="G76" s="66">
        <f>178282/1000</f>
        <v>178.28200000000001</v>
      </c>
      <c r="H76" s="66">
        <v>0</v>
      </c>
      <c r="I76" s="66">
        <v>0</v>
      </c>
      <c r="J76" s="66">
        <v>0</v>
      </c>
      <c r="K76" s="96" t="s">
        <v>72</v>
      </c>
    </row>
    <row r="77" spans="1:11" s="7" customFormat="1" ht="57.6" customHeight="1" x14ac:dyDescent="0.3">
      <c r="A77" s="95">
        <v>51</v>
      </c>
      <c r="B77" s="196"/>
      <c r="C77" s="96" t="s">
        <v>97</v>
      </c>
      <c r="D77" s="149" t="s">
        <v>98</v>
      </c>
      <c r="E77" s="149" t="s">
        <v>12</v>
      </c>
      <c r="F77" s="66">
        <f>376630.1/1000</f>
        <v>376.63009999999997</v>
      </c>
      <c r="G77" s="66">
        <f>376630.1/1000</f>
        <v>376.63009999999997</v>
      </c>
      <c r="H77" s="66">
        <v>0</v>
      </c>
      <c r="I77" s="66">
        <v>0</v>
      </c>
      <c r="J77" s="66">
        <v>0</v>
      </c>
      <c r="K77" s="96" t="s">
        <v>72</v>
      </c>
    </row>
    <row r="78" spans="1:11" s="7" customFormat="1" ht="49.2" customHeight="1" x14ac:dyDescent="0.3">
      <c r="A78" s="95">
        <v>52</v>
      </c>
      <c r="B78" s="196"/>
      <c r="C78" s="96" t="s">
        <v>99</v>
      </c>
      <c r="D78" s="149" t="s">
        <v>75</v>
      </c>
      <c r="E78" s="149" t="s">
        <v>12</v>
      </c>
      <c r="F78" s="66">
        <f>3467500/1000</f>
        <v>3467.5</v>
      </c>
      <c r="G78" s="66">
        <f>3467500/1000</f>
        <v>3467.5</v>
      </c>
      <c r="H78" s="66">
        <v>0</v>
      </c>
      <c r="I78" s="66">
        <v>0</v>
      </c>
      <c r="J78" s="66">
        <v>0</v>
      </c>
      <c r="K78" s="96" t="s">
        <v>72</v>
      </c>
    </row>
    <row r="79" spans="1:11" s="7" customFormat="1" ht="102.6" customHeight="1" x14ac:dyDescent="0.3">
      <c r="A79" s="95">
        <v>53</v>
      </c>
      <c r="B79" s="196"/>
      <c r="C79" s="96" t="s">
        <v>100</v>
      </c>
      <c r="D79" s="149" t="s">
        <v>101</v>
      </c>
      <c r="E79" s="149" t="s">
        <v>12</v>
      </c>
      <c r="F79" s="66">
        <f>52500/1000</f>
        <v>52.5</v>
      </c>
      <c r="G79" s="66">
        <f>52500/1000</f>
        <v>52.5</v>
      </c>
      <c r="H79" s="66">
        <v>0</v>
      </c>
      <c r="I79" s="66">
        <v>0</v>
      </c>
      <c r="J79" s="66">
        <v>0</v>
      </c>
      <c r="K79" s="96" t="s">
        <v>72</v>
      </c>
    </row>
    <row r="80" spans="1:11" s="7" customFormat="1" ht="19.95" customHeight="1" x14ac:dyDescent="0.3">
      <c r="A80" s="194" t="s">
        <v>57</v>
      </c>
      <c r="B80" s="194"/>
      <c r="C80" s="194"/>
      <c r="D80" s="194"/>
      <c r="E80" s="149"/>
      <c r="F80" s="66"/>
      <c r="G80" s="67">
        <f>SUM(G76:G79)</f>
        <v>4074.9121</v>
      </c>
      <c r="H80" s="66">
        <v>0</v>
      </c>
      <c r="I80" s="66">
        <v>0</v>
      </c>
      <c r="J80" s="66">
        <v>0</v>
      </c>
      <c r="K80" s="149"/>
    </row>
    <row r="81" spans="1:11" s="7" customFormat="1" ht="16.2" customHeight="1" x14ac:dyDescent="0.3">
      <c r="A81" s="194" t="s">
        <v>62</v>
      </c>
      <c r="B81" s="195"/>
      <c r="C81" s="195"/>
      <c r="D81" s="195"/>
      <c r="E81" s="149"/>
      <c r="F81" s="66"/>
      <c r="G81" s="67"/>
      <c r="H81" s="66">
        <v>0</v>
      </c>
      <c r="I81" s="66">
        <v>0</v>
      </c>
      <c r="J81" s="66">
        <v>0</v>
      </c>
      <c r="K81" s="149"/>
    </row>
    <row r="82" spans="1:11" s="7" customFormat="1" ht="15.6" customHeight="1" x14ac:dyDescent="0.3">
      <c r="A82" s="194" t="s">
        <v>19</v>
      </c>
      <c r="B82" s="195"/>
      <c r="C82" s="195"/>
      <c r="D82" s="195"/>
      <c r="E82" s="149"/>
      <c r="F82" s="66"/>
      <c r="G82" s="67"/>
      <c r="H82" s="66">
        <v>0</v>
      </c>
      <c r="I82" s="66">
        <v>0</v>
      </c>
      <c r="J82" s="66">
        <v>0</v>
      </c>
      <c r="K82" s="149"/>
    </row>
    <row r="83" spans="1:11" s="7" customFormat="1" ht="46.2" customHeight="1" x14ac:dyDescent="0.3">
      <c r="A83" s="95">
        <v>54</v>
      </c>
      <c r="B83" s="196" t="s">
        <v>102</v>
      </c>
      <c r="C83" s="96" t="s">
        <v>103</v>
      </c>
      <c r="D83" s="149" t="s">
        <v>104</v>
      </c>
      <c r="E83" s="149" t="s">
        <v>12</v>
      </c>
      <c r="F83" s="66">
        <f>2910999/1000</f>
        <v>2910.9989999999998</v>
      </c>
      <c r="G83" s="66">
        <f>2910999/1000</f>
        <v>2910.9989999999998</v>
      </c>
      <c r="H83" s="66">
        <v>0</v>
      </c>
      <c r="I83" s="66">
        <v>0</v>
      </c>
      <c r="J83" s="66">
        <v>0</v>
      </c>
      <c r="K83" s="96" t="s">
        <v>72</v>
      </c>
    </row>
    <row r="84" spans="1:11" s="7" customFormat="1" ht="45.6" customHeight="1" x14ac:dyDescent="0.3">
      <c r="A84" s="95">
        <v>55</v>
      </c>
      <c r="B84" s="196"/>
      <c r="C84" s="96" t="s">
        <v>105</v>
      </c>
      <c r="D84" s="149" t="s">
        <v>104</v>
      </c>
      <c r="E84" s="149" t="s">
        <v>12</v>
      </c>
      <c r="F84" s="66">
        <v>969</v>
      </c>
      <c r="G84" s="66">
        <v>969</v>
      </c>
      <c r="H84" s="66">
        <v>0</v>
      </c>
      <c r="I84" s="66">
        <v>0</v>
      </c>
      <c r="J84" s="66">
        <v>0</v>
      </c>
      <c r="K84" s="96" t="s">
        <v>72</v>
      </c>
    </row>
    <row r="85" spans="1:11" s="7" customFormat="1" ht="89.4" customHeight="1" x14ac:dyDescent="0.3">
      <c r="A85" s="95">
        <v>56</v>
      </c>
      <c r="B85" s="196"/>
      <c r="C85" s="96" t="s">
        <v>106</v>
      </c>
      <c r="D85" s="149" t="s">
        <v>107</v>
      </c>
      <c r="E85" s="149" t="s">
        <v>12</v>
      </c>
      <c r="F85" s="66">
        <v>250</v>
      </c>
      <c r="G85" s="66">
        <v>250</v>
      </c>
      <c r="H85" s="66">
        <v>0</v>
      </c>
      <c r="I85" s="66">
        <v>0</v>
      </c>
      <c r="J85" s="66">
        <v>0</v>
      </c>
      <c r="K85" s="96" t="s">
        <v>72</v>
      </c>
    </row>
    <row r="86" spans="1:11" s="7" customFormat="1" ht="18.600000000000001" customHeight="1" x14ac:dyDescent="0.3">
      <c r="A86" s="194" t="s">
        <v>57</v>
      </c>
      <c r="B86" s="194"/>
      <c r="C86" s="194"/>
      <c r="D86" s="194"/>
      <c r="E86" s="149"/>
      <c r="F86" s="66"/>
      <c r="G86" s="67">
        <f>SUM(G83:G85)</f>
        <v>4129.9989999999998</v>
      </c>
      <c r="H86" s="66"/>
      <c r="I86" s="66"/>
      <c r="J86" s="66"/>
      <c r="K86" s="149"/>
    </row>
    <row r="87" spans="1:11" s="7" customFormat="1" ht="16.2" customHeight="1" x14ac:dyDescent="0.3">
      <c r="A87" s="194" t="s">
        <v>62</v>
      </c>
      <c r="B87" s="195"/>
      <c r="C87" s="195"/>
      <c r="D87" s="195"/>
      <c r="E87" s="149"/>
      <c r="F87" s="66"/>
      <c r="G87" s="66"/>
      <c r="H87" s="67">
        <f>SUM(H83:H85)</f>
        <v>0</v>
      </c>
      <c r="I87" s="67"/>
      <c r="J87" s="66"/>
      <c r="K87" s="149"/>
    </row>
    <row r="88" spans="1:11" s="7" customFormat="1" ht="16.95" customHeight="1" x14ac:dyDescent="0.3">
      <c r="A88" s="194" t="s">
        <v>19</v>
      </c>
      <c r="B88" s="195"/>
      <c r="C88" s="195"/>
      <c r="D88" s="195"/>
      <c r="E88" s="149"/>
      <c r="F88" s="66"/>
      <c r="G88" s="66"/>
      <c r="H88" s="67"/>
      <c r="I88" s="67">
        <f>SUM(I83:I85)</f>
        <v>0</v>
      </c>
      <c r="J88" s="66"/>
      <c r="K88" s="149"/>
    </row>
    <row r="89" spans="1:11" s="7" customFormat="1" ht="39.6" customHeight="1" x14ac:dyDescent="0.3">
      <c r="A89" s="95">
        <v>57</v>
      </c>
      <c r="B89" s="196" t="s">
        <v>108</v>
      </c>
      <c r="C89" s="96" t="s">
        <v>109</v>
      </c>
      <c r="D89" s="149" t="s">
        <v>91</v>
      </c>
      <c r="E89" s="149" t="s">
        <v>12</v>
      </c>
      <c r="F89" s="66">
        <f>39730/1000</f>
        <v>39.729999999999997</v>
      </c>
      <c r="G89" s="66">
        <f>39730/1000</f>
        <v>39.729999999999997</v>
      </c>
      <c r="H89" s="66">
        <v>0</v>
      </c>
      <c r="I89" s="66">
        <v>0</v>
      </c>
      <c r="J89" s="66">
        <v>0</v>
      </c>
      <c r="K89" s="96" t="s">
        <v>72</v>
      </c>
    </row>
    <row r="90" spans="1:11" s="7" customFormat="1" ht="109.2" customHeight="1" x14ac:dyDescent="0.3">
      <c r="A90" s="95">
        <v>58</v>
      </c>
      <c r="B90" s="196"/>
      <c r="C90" s="96" t="s">
        <v>110</v>
      </c>
      <c r="D90" s="149" t="s">
        <v>101</v>
      </c>
      <c r="E90" s="149" t="s">
        <v>12</v>
      </c>
      <c r="F90" s="66">
        <f>32670/1000</f>
        <v>32.67</v>
      </c>
      <c r="G90" s="66">
        <f>32670/1000</f>
        <v>32.67</v>
      </c>
      <c r="H90" s="66">
        <v>0</v>
      </c>
      <c r="I90" s="66">
        <v>0</v>
      </c>
      <c r="J90" s="66">
        <v>0</v>
      </c>
      <c r="K90" s="96" t="s">
        <v>111</v>
      </c>
    </row>
    <row r="91" spans="1:11" s="7" customFormat="1" ht="66" x14ac:dyDescent="0.3">
      <c r="A91" s="95">
        <v>59</v>
      </c>
      <c r="B91" s="196"/>
      <c r="C91" s="96" t="s">
        <v>112</v>
      </c>
      <c r="D91" s="149" t="s">
        <v>113</v>
      </c>
      <c r="E91" s="149" t="s">
        <v>12</v>
      </c>
      <c r="F91" s="66">
        <f>33194.5/1000</f>
        <v>33.194499999999998</v>
      </c>
      <c r="G91" s="66">
        <v>0</v>
      </c>
      <c r="H91" s="66">
        <f>33194.5/1000</f>
        <v>33.194499999999998</v>
      </c>
      <c r="I91" s="66">
        <v>0</v>
      </c>
      <c r="J91" s="66">
        <v>0</v>
      </c>
      <c r="K91" s="96" t="s">
        <v>114</v>
      </c>
    </row>
    <row r="92" spans="1:11" s="7" customFormat="1" ht="72" customHeight="1" x14ac:dyDescent="0.3">
      <c r="A92" s="95">
        <v>60</v>
      </c>
      <c r="B92" s="196"/>
      <c r="C92" s="96" t="s">
        <v>115</v>
      </c>
      <c r="D92" s="149" t="s">
        <v>116</v>
      </c>
      <c r="E92" s="149" t="s">
        <v>12</v>
      </c>
      <c r="F92" s="66">
        <f>330942/1000</f>
        <v>330.94200000000001</v>
      </c>
      <c r="G92" s="66">
        <v>0</v>
      </c>
      <c r="H92" s="66">
        <f>330942/1000</f>
        <v>330.94200000000001</v>
      </c>
      <c r="I92" s="66">
        <v>0</v>
      </c>
      <c r="J92" s="66">
        <v>0</v>
      </c>
      <c r="K92" s="96" t="s">
        <v>114</v>
      </c>
    </row>
    <row r="93" spans="1:11" s="7" customFormat="1" ht="13.2" x14ac:dyDescent="0.3">
      <c r="A93" s="194" t="s">
        <v>57</v>
      </c>
      <c r="B93" s="194"/>
      <c r="C93" s="194"/>
      <c r="D93" s="194"/>
      <c r="E93" s="149"/>
      <c r="F93" s="66"/>
      <c r="G93" s="67">
        <f>SUM(G89:G92)</f>
        <v>72.400000000000006</v>
      </c>
      <c r="H93" s="67"/>
      <c r="I93" s="67"/>
      <c r="J93" s="66"/>
      <c r="K93" s="149"/>
    </row>
    <row r="94" spans="1:11" s="7" customFormat="1" ht="16.95" customHeight="1" x14ac:dyDescent="0.3">
      <c r="A94" s="194" t="s">
        <v>62</v>
      </c>
      <c r="B94" s="195"/>
      <c r="C94" s="195"/>
      <c r="D94" s="195"/>
      <c r="E94" s="149"/>
      <c r="F94" s="66"/>
      <c r="G94" s="67"/>
      <c r="H94" s="67">
        <f>SUM(H89:H92)</f>
        <v>364.13650000000001</v>
      </c>
      <c r="I94" s="67"/>
      <c r="J94" s="66"/>
      <c r="K94" s="149"/>
    </row>
    <row r="95" spans="1:11" s="7" customFormat="1" ht="13.2" x14ac:dyDescent="0.3">
      <c r="A95" s="194" t="s">
        <v>19</v>
      </c>
      <c r="B95" s="195"/>
      <c r="C95" s="195"/>
      <c r="D95" s="195"/>
      <c r="E95" s="149"/>
      <c r="F95" s="66"/>
      <c r="G95" s="67"/>
      <c r="H95" s="67"/>
      <c r="I95" s="67">
        <f>SUM(I89:I92)</f>
        <v>0</v>
      </c>
      <c r="J95" s="66"/>
      <c r="K95" s="149"/>
    </row>
    <row r="96" spans="1:11" s="7" customFormat="1" ht="54" customHeight="1" x14ac:dyDescent="0.3">
      <c r="A96" s="95">
        <v>61</v>
      </c>
      <c r="B96" s="196" t="s">
        <v>117</v>
      </c>
      <c r="C96" s="96" t="s">
        <v>118</v>
      </c>
      <c r="D96" s="149" t="s">
        <v>119</v>
      </c>
      <c r="E96" s="149" t="s">
        <v>12</v>
      </c>
      <c r="F96" s="66">
        <f>8000000/1000</f>
        <v>8000</v>
      </c>
      <c r="G96" s="66">
        <f>8000000/1000</f>
        <v>8000</v>
      </c>
      <c r="H96" s="66">
        <v>0</v>
      </c>
      <c r="I96" s="66">
        <v>0</v>
      </c>
      <c r="J96" s="66">
        <v>0</v>
      </c>
      <c r="K96" s="96" t="s">
        <v>72</v>
      </c>
    </row>
    <row r="97" spans="1:11" s="7" customFormat="1" ht="53.4" customHeight="1" x14ac:dyDescent="0.3">
      <c r="A97" s="95">
        <v>62</v>
      </c>
      <c r="B97" s="196"/>
      <c r="C97" s="96" t="s">
        <v>120</v>
      </c>
      <c r="D97" s="149" t="s">
        <v>121</v>
      </c>
      <c r="E97" s="149" t="s">
        <v>12</v>
      </c>
      <c r="F97" s="66">
        <f>2108160/1000</f>
        <v>2108.16</v>
      </c>
      <c r="G97" s="66">
        <f>1848960/1000</f>
        <v>1848.96</v>
      </c>
      <c r="H97" s="66">
        <f>259200/1000</f>
        <v>259.2</v>
      </c>
      <c r="I97" s="66">
        <v>0</v>
      </c>
      <c r="J97" s="66">
        <v>0</v>
      </c>
      <c r="K97" s="96" t="s">
        <v>72</v>
      </c>
    </row>
    <row r="98" spans="1:11" s="7" customFormat="1" ht="15.6" customHeight="1" x14ac:dyDescent="0.3">
      <c r="A98" s="194" t="s">
        <v>57</v>
      </c>
      <c r="B98" s="194"/>
      <c r="C98" s="194"/>
      <c r="D98" s="194"/>
      <c r="E98" s="149"/>
      <c r="F98" s="66"/>
      <c r="G98" s="67">
        <f>SUM(G96:G97)</f>
        <v>9848.9599999999991</v>
      </c>
      <c r="H98" s="67"/>
      <c r="I98" s="67"/>
      <c r="J98" s="66"/>
      <c r="K98" s="149"/>
    </row>
    <row r="99" spans="1:11" s="7" customFormat="1" ht="19.95" customHeight="1" x14ac:dyDescent="0.3">
      <c r="A99" s="194" t="s">
        <v>62</v>
      </c>
      <c r="B99" s="195"/>
      <c r="C99" s="195"/>
      <c r="D99" s="195"/>
      <c r="E99" s="149"/>
      <c r="F99" s="66"/>
      <c r="G99" s="67"/>
      <c r="H99" s="67">
        <f>SUM(H96:H97)</f>
        <v>259.2</v>
      </c>
      <c r="I99" s="67"/>
      <c r="J99" s="66"/>
      <c r="K99" s="149"/>
    </row>
    <row r="100" spans="1:11" s="7" customFormat="1" ht="18" customHeight="1" x14ac:dyDescent="0.3">
      <c r="A100" s="194" t="s">
        <v>19</v>
      </c>
      <c r="B100" s="195"/>
      <c r="C100" s="195"/>
      <c r="D100" s="195"/>
      <c r="E100" s="149"/>
      <c r="F100" s="66"/>
      <c r="G100" s="67"/>
      <c r="H100" s="67"/>
      <c r="I100" s="67">
        <f>SUM(I96:I97)</f>
        <v>0</v>
      </c>
      <c r="J100" s="66"/>
      <c r="K100" s="149"/>
    </row>
    <row r="101" spans="1:11" s="7" customFormat="1" ht="88.8" customHeight="1" x14ac:dyDescent="0.3">
      <c r="A101" s="95">
        <v>63</v>
      </c>
      <c r="B101" s="196" t="s">
        <v>122</v>
      </c>
      <c r="C101" s="96" t="s">
        <v>123</v>
      </c>
      <c r="D101" s="149" t="s">
        <v>96</v>
      </c>
      <c r="E101" s="149" t="s">
        <v>12</v>
      </c>
      <c r="F101" s="66">
        <v>520</v>
      </c>
      <c r="G101" s="66">
        <v>520</v>
      </c>
      <c r="H101" s="66">
        <v>0</v>
      </c>
      <c r="I101" s="66">
        <v>0</v>
      </c>
      <c r="J101" s="66">
        <v>0</v>
      </c>
      <c r="K101" s="96" t="s">
        <v>72</v>
      </c>
    </row>
    <row r="102" spans="1:11" s="7" customFormat="1" ht="49.2" customHeight="1" x14ac:dyDescent="0.3">
      <c r="A102" s="95">
        <v>64</v>
      </c>
      <c r="B102" s="196"/>
      <c r="C102" s="96" t="s">
        <v>124</v>
      </c>
      <c r="D102" s="149" t="s">
        <v>75</v>
      </c>
      <c r="E102" s="149" t="s">
        <v>12</v>
      </c>
      <c r="F102" s="66">
        <f>5340110/1000</f>
        <v>5340.11</v>
      </c>
      <c r="G102" s="66">
        <f>5340110/1000</f>
        <v>5340.11</v>
      </c>
      <c r="H102" s="66">
        <v>0</v>
      </c>
      <c r="I102" s="66">
        <v>0</v>
      </c>
      <c r="J102" s="66">
        <v>0</v>
      </c>
      <c r="K102" s="96" t="s">
        <v>125</v>
      </c>
    </row>
    <row r="103" spans="1:11" s="7" customFormat="1" ht="19.2" customHeight="1" x14ac:dyDescent="0.3">
      <c r="A103" s="194" t="s">
        <v>57</v>
      </c>
      <c r="B103" s="194"/>
      <c r="C103" s="194"/>
      <c r="D103" s="194"/>
      <c r="E103" s="149"/>
      <c r="F103" s="66"/>
      <c r="G103" s="67">
        <f>SUM(G101:G102)</f>
        <v>5860.11</v>
      </c>
      <c r="H103" s="66">
        <v>0</v>
      </c>
      <c r="I103" s="66">
        <v>0</v>
      </c>
      <c r="J103" s="66">
        <v>0</v>
      </c>
      <c r="K103" s="149"/>
    </row>
    <row r="104" spans="1:11" s="7" customFormat="1" ht="23.4" customHeight="1" x14ac:dyDescent="0.3">
      <c r="A104" s="194" t="s">
        <v>62</v>
      </c>
      <c r="B104" s="195"/>
      <c r="C104" s="195"/>
      <c r="D104" s="195"/>
      <c r="E104" s="149"/>
      <c r="F104" s="66"/>
      <c r="G104" s="67"/>
      <c r="H104" s="66">
        <v>0</v>
      </c>
      <c r="I104" s="66">
        <v>0</v>
      </c>
      <c r="J104" s="66">
        <v>0</v>
      </c>
      <c r="K104" s="149"/>
    </row>
    <row r="105" spans="1:11" s="7" customFormat="1" ht="17.399999999999999" customHeight="1" x14ac:dyDescent="0.3">
      <c r="A105" s="194" t="s">
        <v>19</v>
      </c>
      <c r="B105" s="195"/>
      <c r="C105" s="195"/>
      <c r="D105" s="195"/>
      <c r="E105" s="149"/>
      <c r="F105" s="66"/>
      <c r="G105" s="67"/>
      <c r="H105" s="66">
        <v>0</v>
      </c>
      <c r="I105" s="66">
        <v>0</v>
      </c>
      <c r="J105" s="66">
        <v>0</v>
      </c>
      <c r="K105" s="149"/>
    </row>
    <row r="106" spans="1:11" s="7" customFormat="1" ht="44.4" customHeight="1" x14ac:dyDescent="0.3">
      <c r="A106" s="95">
        <v>65</v>
      </c>
      <c r="B106" s="149" t="s">
        <v>126</v>
      </c>
      <c r="C106" s="96" t="s">
        <v>127</v>
      </c>
      <c r="D106" s="149" t="s">
        <v>128</v>
      </c>
      <c r="E106" s="149" t="s">
        <v>12</v>
      </c>
      <c r="F106" s="66">
        <v>6441</v>
      </c>
      <c r="G106" s="66">
        <v>6441</v>
      </c>
      <c r="H106" s="66">
        <v>0</v>
      </c>
      <c r="I106" s="66">
        <v>0</v>
      </c>
      <c r="J106" s="66">
        <v>0</v>
      </c>
      <c r="K106" s="96" t="s">
        <v>72</v>
      </c>
    </row>
    <row r="107" spans="1:11" s="7" customFormat="1" ht="16.95" customHeight="1" x14ac:dyDescent="0.3">
      <c r="A107" s="194" t="s">
        <v>57</v>
      </c>
      <c r="B107" s="194"/>
      <c r="C107" s="194"/>
      <c r="D107" s="194"/>
      <c r="E107" s="149"/>
      <c r="F107" s="66"/>
      <c r="G107" s="67">
        <f>SUM(G106:G106)</f>
        <v>6441</v>
      </c>
      <c r="H107" s="66">
        <v>0</v>
      </c>
      <c r="I107" s="66">
        <v>0</v>
      </c>
      <c r="J107" s="66">
        <v>0</v>
      </c>
      <c r="K107" s="149"/>
    </row>
    <row r="108" spans="1:11" s="7" customFormat="1" ht="16.95" customHeight="1" x14ac:dyDescent="0.3">
      <c r="A108" s="194" t="s">
        <v>62</v>
      </c>
      <c r="B108" s="195"/>
      <c r="C108" s="195"/>
      <c r="D108" s="195"/>
      <c r="E108" s="149"/>
      <c r="F108" s="66"/>
      <c r="G108" s="67"/>
      <c r="H108" s="66">
        <v>0</v>
      </c>
      <c r="I108" s="66">
        <v>0</v>
      </c>
      <c r="J108" s="66">
        <v>0</v>
      </c>
      <c r="K108" s="149"/>
    </row>
    <row r="109" spans="1:11" s="7" customFormat="1" ht="17.399999999999999" customHeight="1" x14ac:dyDescent="0.3">
      <c r="A109" s="194" t="s">
        <v>19</v>
      </c>
      <c r="B109" s="195"/>
      <c r="C109" s="195"/>
      <c r="D109" s="195"/>
      <c r="E109" s="149"/>
      <c r="F109" s="66"/>
      <c r="G109" s="67"/>
      <c r="H109" s="66">
        <v>0</v>
      </c>
      <c r="I109" s="66">
        <v>0</v>
      </c>
      <c r="J109" s="66">
        <v>0</v>
      </c>
      <c r="K109" s="149"/>
    </row>
    <row r="110" spans="1:11" s="7" customFormat="1" ht="104.4" customHeight="1" x14ac:dyDescent="0.3">
      <c r="A110" s="95">
        <v>66</v>
      </c>
      <c r="B110" s="196" t="s">
        <v>129</v>
      </c>
      <c r="C110" s="96" t="s">
        <v>130</v>
      </c>
      <c r="D110" s="149" t="s">
        <v>101</v>
      </c>
      <c r="E110" s="149" t="s">
        <v>12</v>
      </c>
      <c r="F110" s="66">
        <v>100</v>
      </c>
      <c r="G110" s="66">
        <v>100</v>
      </c>
      <c r="H110" s="66">
        <v>0</v>
      </c>
      <c r="I110" s="66">
        <v>0</v>
      </c>
      <c r="J110" s="66">
        <v>0</v>
      </c>
      <c r="K110" s="96" t="s">
        <v>111</v>
      </c>
    </row>
    <row r="111" spans="1:11" s="7" customFormat="1" ht="64.8" customHeight="1" x14ac:dyDescent="0.3">
      <c r="A111" s="95">
        <v>67</v>
      </c>
      <c r="B111" s="196"/>
      <c r="C111" s="96" t="s">
        <v>131</v>
      </c>
      <c r="D111" s="149" t="s">
        <v>132</v>
      </c>
      <c r="E111" s="149" t="s">
        <v>12</v>
      </c>
      <c r="F111" s="66">
        <f>504172.05/1000</f>
        <v>504.17205000000001</v>
      </c>
      <c r="G111" s="66">
        <f>504172.05/1000</f>
        <v>504.17205000000001</v>
      </c>
      <c r="H111" s="66">
        <v>0</v>
      </c>
      <c r="I111" s="66">
        <v>0</v>
      </c>
      <c r="J111" s="66">
        <v>0</v>
      </c>
      <c r="K111" s="96" t="s">
        <v>72</v>
      </c>
    </row>
    <row r="112" spans="1:11" s="7" customFormat="1" ht="40.799999999999997" customHeight="1" x14ac:dyDescent="0.3">
      <c r="A112" s="95">
        <v>68</v>
      </c>
      <c r="B112" s="196"/>
      <c r="C112" s="96" t="s">
        <v>133</v>
      </c>
      <c r="D112" s="149" t="s">
        <v>104</v>
      </c>
      <c r="E112" s="149" t="s">
        <v>12</v>
      </c>
      <c r="F112" s="66">
        <f>216551.74/1000</f>
        <v>216.55174</v>
      </c>
      <c r="G112" s="66">
        <f>216551.74/1000</f>
        <v>216.55174</v>
      </c>
      <c r="H112" s="66">
        <v>0</v>
      </c>
      <c r="I112" s="66">
        <v>0</v>
      </c>
      <c r="J112" s="66">
        <v>0</v>
      </c>
      <c r="K112" s="96" t="s">
        <v>72</v>
      </c>
    </row>
    <row r="113" spans="1:11" s="7" customFormat="1" ht="13.2" x14ac:dyDescent="0.3">
      <c r="A113" s="194" t="s">
        <v>57</v>
      </c>
      <c r="B113" s="194"/>
      <c r="C113" s="194"/>
      <c r="D113" s="194"/>
      <c r="E113" s="98"/>
      <c r="F113" s="66"/>
      <c r="G113" s="67">
        <f>SUM(G110:G112)</f>
        <v>820.72379000000001</v>
      </c>
      <c r="H113" s="67"/>
      <c r="I113" s="67"/>
      <c r="J113" s="66"/>
      <c r="K113" s="149"/>
    </row>
    <row r="114" spans="1:11" s="7" customFormat="1" ht="17.399999999999999" customHeight="1" x14ac:dyDescent="0.3">
      <c r="A114" s="194" t="s">
        <v>62</v>
      </c>
      <c r="B114" s="195"/>
      <c r="C114" s="195"/>
      <c r="D114" s="195"/>
      <c r="E114" s="149"/>
      <c r="F114" s="66"/>
      <c r="G114" s="67"/>
      <c r="H114" s="67">
        <f>SUM(H110:H112)</f>
        <v>0</v>
      </c>
      <c r="I114" s="67"/>
      <c r="J114" s="66"/>
      <c r="K114" s="149"/>
    </row>
    <row r="115" spans="1:11" s="7" customFormat="1" ht="18" customHeight="1" x14ac:dyDescent="0.3">
      <c r="A115" s="194" t="s">
        <v>19</v>
      </c>
      <c r="B115" s="195"/>
      <c r="C115" s="195"/>
      <c r="D115" s="195"/>
      <c r="E115" s="149"/>
      <c r="F115" s="66"/>
      <c r="G115" s="67"/>
      <c r="H115" s="67"/>
      <c r="I115" s="67">
        <f>SUM(I110:I112)</f>
        <v>0</v>
      </c>
      <c r="J115" s="66"/>
      <c r="K115" s="149"/>
    </row>
    <row r="116" spans="1:11" s="7" customFormat="1" ht="77.400000000000006" customHeight="1" x14ac:dyDescent="0.3">
      <c r="A116" s="95">
        <v>69</v>
      </c>
      <c r="B116" s="196" t="s">
        <v>134</v>
      </c>
      <c r="C116" s="96" t="s">
        <v>135</v>
      </c>
      <c r="D116" s="149" t="s">
        <v>136</v>
      </c>
      <c r="E116" s="149" t="s">
        <v>12</v>
      </c>
      <c r="F116" s="66">
        <v>1556</v>
      </c>
      <c r="G116" s="66">
        <v>1556</v>
      </c>
      <c r="H116" s="66">
        <v>0</v>
      </c>
      <c r="I116" s="66">
        <v>0</v>
      </c>
      <c r="J116" s="66">
        <v>0</v>
      </c>
      <c r="K116" s="96" t="s">
        <v>72</v>
      </c>
    </row>
    <row r="117" spans="1:11" s="7" customFormat="1" ht="45" customHeight="1" x14ac:dyDescent="0.3">
      <c r="A117" s="95">
        <v>70</v>
      </c>
      <c r="B117" s="196"/>
      <c r="C117" s="96" t="s">
        <v>137</v>
      </c>
      <c r="D117" s="149" t="s">
        <v>138</v>
      </c>
      <c r="E117" s="149" t="s">
        <v>12</v>
      </c>
      <c r="F117" s="66">
        <v>153.6</v>
      </c>
      <c r="G117" s="66">
        <v>153.6</v>
      </c>
      <c r="H117" s="66">
        <v>0</v>
      </c>
      <c r="I117" s="66">
        <v>0</v>
      </c>
      <c r="J117" s="66">
        <v>0</v>
      </c>
      <c r="K117" s="96" t="s">
        <v>72</v>
      </c>
    </row>
    <row r="118" spans="1:11" s="7" customFormat="1" ht="13.2" x14ac:dyDescent="0.3">
      <c r="A118" s="194" t="s">
        <v>57</v>
      </c>
      <c r="B118" s="194"/>
      <c r="C118" s="194"/>
      <c r="D118" s="194"/>
      <c r="E118" s="98"/>
      <c r="F118" s="66"/>
      <c r="G118" s="67">
        <f>SUM(G116:G117)</f>
        <v>1709.6</v>
      </c>
      <c r="H118" s="66">
        <v>0</v>
      </c>
      <c r="I118" s="66">
        <v>0</v>
      </c>
      <c r="J118" s="66">
        <v>0</v>
      </c>
      <c r="K118" s="149"/>
    </row>
    <row r="119" spans="1:11" s="7" customFormat="1" ht="13.2" customHeight="1" x14ac:dyDescent="0.3">
      <c r="A119" s="194" t="s">
        <v>62</v>
      </c>
      <c r="B119" s="195"/>
      <c r="C119" s="195"/>
      <c r="D119" s="195"/>
      <c r="E119" s="149"/>
      <c r="F119" s="66"/>
      <c r="G119" s="67"/>
      <c r="H119" s="66">
        <v>0</v>
      </c>
      <c r="I119" s="66">
        <v>0</v>
      </c>
      <c r="J119" s="66">
        <v>0</v>
      </c>
      <c r="K119" s="149"/>
    </row>
    <row r="120" spans="1:11" s="7" customFormat="1" ht="18" customHeight="1" x14ac:dyDescent="0.3">
      <c r="A120" s="194" t="s">
        <v>19</v>
      </c>
      <c r="B120" s="195"/>
      <c r="C120" s="195"/>
      <c r="D120" s="195"/>
      <c r="E120" s="149"/>
      <c r="F120" s="66"/>
      <c r="G120" s="67"/>
      <c r="H120" s="66">
        <v>0</v>
      </c>
      <c r="I120" s="66">
        <v>0</v>
      </c>
      <c r="J120" s="66">
        <v>0</v>
      </c>
      <c r="K120" s="149"/>
    </row>
    <row r="121" spans="1:11" s="7" customFormat="1" ht="84" customHeight="1" x14ac:dyDescent="0.3">
      <c r="A121" s="95">
        <v>71</v>
      </c>
      <c r="B121" s="196" t="s">
        <v>139</v>
      </c>
      <c r="C121" s="96" t="s">
        <v>140</v>
      </c>
      <c r="D121" s="149" t="s">
        <v>141</v>
      </c>
      <c r="E121" s="149" t="s">
        <v>12</v>
      </c>
      <c r="F121" s="66">
        <v>4500</v>
      </c>
      <c r="G121" s="66">
        <v>4500</v>
      </c>
      <c r="H121" s="66">
        <v>0</v>
      </c>
      <c r="I121" s="66">
        <v>0</v>
      </c>
      <c r="J121" s="66">
        <v>0</v>
      </c>
      <c r="K121" s="96" t="s">
        <v>72</v>
      </c>
    </row>
    <row r="122" spans="1:11" s="7" customFormat="1" ht="44.4" customHeight="1" x14ac:dyDescent="0.3">
      <c r="A122" s="95">
        <v>72</v>
      </c>
      <c r="B122" s="196"/>
      <c r="C122" s="96" t="s">
        <v>142</v>
      </c>
      <c r="D122" s="149" t="s">
        <v>75</v>
      </c>
      <c r="E122" s="149" t="s">
        <v>12</v>
      </c>
      <c r="F122" s="66">
        <f>1093500/1000</f>
        <v>1093.5</v>
      </c>
      <c r="G122" s="66">
        <f>1093500/1000</f>
        <v>1093.5</v>
      </c>
      <c r="H122" s="66">
        <v>0</v>
      </c>
      <c r="I122" s="66">
        <v>0</v>
      </c>
      <c r="J122" s="66">
        <v>0</v>
      </c>
      <c r="K122" s="96" t="s">
        <v>76</v>
      </c>
    </row>
    <row r="123" spans="1:11" s="7" customFormat="1" ht="47.4" customHeight="1" x14ac:dyDescent="0.3">
      <c r="A123" s="95">
        <v>73</v>
      </c>
      <c r="B123" s="196"/>
      <c r="C123" s="96" t="s">
        <v>143</v>
      </c>
      <c r="D123" s="149" t="s">
        <v>75</v>
      </c>
      <c r="E123" s="149" t="s">
        <v>12</v>
      </c>
      <c r="F123" s="66">
        <v>4500</v>
      </c>
      <c r="G123" s="66">
        <v>4500</v>
      </c>
      <c r="H123" s="66">
        <v>0</v>
      </c>
      <c r="I123" s="66">
        <v>0</v>
      </c>
      <c r="J123" s="66">
        <v>0</v>
      </c>
      <c r="K123" s="96" t="s">
        <v>76</v>
      </c>
    </row>
    <row r="124" spans="1:11" s="7" customFormat="1" ht="74.400000000000006" customHeight="1" x14ac:dyDescent="0.3">
      <c r="A124" s="95">
        <v>74</v>
      </c>
      <c r="B124" s="196"/>
      <c r="C124" s="96" t="s">
        <v>144</v>
      </c>
      <c r="D124" s="149" t="s">
        <v>145</v>
      </c>
      <c r="E124" s="149" t="s">
        <v>12</v>
      </c>
      <c r="F124" s="66">
        <v>1000</v>
      </c>
      <c r="G124" s="66">
        <v>1000</v>
      </c>
      <c r="H124" s="66">
        <v>0</v>
      </c>
      <c r="I124" s="66">
        <v>0</v>
      </c>
      <c r="J124" s="66">
        <v>0</v>
      </c>
      <c r="K124" s="96" t="s">
        <v>76</v>
      </c>
    </row>
    <row r="125" spans="1:11" s="7" customFormat="1" ht="13.2" x14ac:dyDescent="0.3">
      <c r="A125" s="194" t="s">
        <v>57</v>
      </c>
      <c r="B125" s="194"/>
      <c r="C125" s="194"/>
      <c r="D125" s="194"/>
      <c r="E125" s="98"/>
      <c r="F125" s="66"/>
      <c r="G125" s="67">
        <f>SUM(G121:G124)</f>
        <v>11093.5</v>
      </c>
      <c r="H125" s="67"/>
      <c r="I125" s="67"/>
      <c r="J125" s="66"/>
      <c r="K125" s="149"/>
    </row>
    <row r="126" spans="1:11" s="7" customFormat="1" ht="17.399999999999999" customHeight="1" x14ac:dyDescent="0.3">
      <c r="A126" s="194" t="s">
        <v>62</v>
      </c>
      <c r="B126" s="195"/>
      <c r="C126" s="195"/>
      <c r="D126" s="195"/>
      <c r="E126" s="149"/>
      <c r="F126" s="66"/>
      <c r="G126" s="67"/>
      <c r="H126" s="67">
        <f>SUM(H121:H124)</f>
        <v>0</v>
      </c>
      <c r="I126" s="67"/>
      <c r="J126" s="66"/>
      <c r="K126" s="149"/>
    </row>
    <row r="127" spans="1:11" s="7" customFormat="1" ht="18.600000000000001" customHeight="1" x14ac:dyDescent="0.3">
      <c r="A127" s="194" t="s">
        <v>19</v>
      </c>
      <c r="B127" s="195"/>
      <c r="C127" s="195"/>
      <c r="D127" s="195"/>
      <c r="E127" s="149"/>
      <c r="F127" s="66"/>
      <c r="G127" s="67"/>
      <c r="H127" s="67"/>
      <c r="I127" s="67">
        <f>SUM(I121:I124)</f>
        <v>0</v>
      </c>
      <c r="J127" s="66"/>
      <c r="K127" s="149"/>
    </row>
    <row r="128" spans="1:11" s="7" customFormat="1" ht="88.8" customHeight="1" x14ac:dyDescent="0.3">
      <c r="A128" s="95">
        <v>75</v>
      </c>
      <c r="B128" s="196" t="s">
        <v>146</v>
      </c>
      <c r="C128" s="96" t="s">
        <v>147</v>
      </c>
      <c r="D128" s="149" t="s">
        <v>96</v>
      </c>
      <c r="E128" s="149" t="s">
        <v>12</v>
      </c>
      <c r="F128" s="66">
        <f>1097722.15/1000</f>
        <v>1097.7221499999998</v>
      </c>
      <c r="G128" s="66">
        <f>1097722.15/1000</f>
        <v>1097.7221499999998</v>
      </c>
      <c r="H128" s="66">
        <v>0</v>
      </c>
      <c r="I128" s="66">
        <v>0</v>
      </c>
      <c r="J128" s="66">
        <v>0</v>
      </c>
      <c r="K128" s="96" t="s">
        <v>72</v>
      </c>
    </row>
    <row r="129" spans="1:11" s="7" customFormat="1" ht="56.4" customHeight="1" x14ac:dyDescent="0.3">
      <c r="A129" s="95">
        <v>76</v>
      </c>
      <c r="B129" s="196"/>
      <c r="C129" s="96" t="s">
        <v>148</v>
      </c>
      <c r="D129" s="149" t="s">
        <v>149</v>
      </c>
      <c r="E129" s="149" t="s">
        <v>12</v>
      </c>
      <c r="F129" s="66">
        <f>2515322.4/1000</f>
        <v>2515.3224</v>
      </c>
      <c r="G129" s="66">
        <f>314415.3/1000</f>
        <v>314.4153</v>
      </c>
      <c r="H129" s="66">
        <f>1100453.55/1000</f>
        <v>1100.45355</v>
      </c>
      <c r="I129" s="66">
        <f>1100453.55/1000</f>
        <v>1100.45355</v>
      </c>
      <c r="J129" s="66">
        <v>0</v>
      </c>
      <c r="K129" s="96" t="s">
        <v>72</v>
      </c>
    </row>
    <row r="130" spans="1:11" s="7" customFormat="1" ht="13.2" x14ac:dyDescent="0.3">
      <c r="A130" s="194" t="s">
        <v>57</v>
      </c>
      <c r="B130" s="194"/>
      <c r="C130" s="194"/>
      <c r="D130" s="194"/>
      <c r="E130" s="98"/>
      <c r="F130" s="66"/>
      <c r="G130" s="67">
        <f>SUM(G128:G129)</f>
        <v>1412.1374499999997</v>
      </c>
      <c r="H130" s="67"/>
      <c r="I130" s="67"/>
      <c r="J130" s="66"/>
      <c r="K130" s="149"/>
    </row>
    <row r="131" spans="1:11" s="7" customFormat="1" ht="18" customHeight="1" x14ac:dyDescent="0.3">
      <c r="A131" s="194" t="s">
        <v>62</v>
      </c>
      <c r="B131" s="195"/>
      <c r="C131" s="195"/>
      <c r="D131" s="195"/>
      <c r="E131" s="149"/>
      <c r="F131" s="66"/>
      <c r="G131" s="67"/>
      <c r="H131" s="67">
        <f>SUM(H128:H129)</f>
        <v>1100.45355</v>
      </c>
      <c r="I131" s="67"/>
      <c r="J131" s="66"/>
      <c r="K131" s="149"/>
    </row>
    <row r="132" spans="1:11" s="7" customFormat="1" ht="15" customHeight="1" x14ac:dyDescent="0.3">
      <c r="A132" s="194" t="s">
        <v>19</v>
      </c>
      <c r="B132" s="195"/>
      <c r="C132" s="195"/>
      <c r="D132" s="195"/>
      <c r="E132" s="149"/>
      <c r="F132" s="66"/>
      <c r="G132" s="67"/>
      <c r="H132" s="67"/>
      <c r="I132" s="67">
        <f>SUM(I128:I129)</f>
        <v>1100.45355</v>
      </c>
      <c r="J132" s="66"/>
      <c r="K132" s="149"/>
    </row>
    <row r="133" spans="1:11" s="7" customFormat="1" ht="68.400000000000006" customHeight="1" x14ac:dyDescent="0.3">
      <c r="A133" s="95">
        <v>77</v>
      </c>
      <c r="B133" s="149" t="s">
        <v>150</v>
      </c>
      <c r="C133" s="96" t="s">
        <v>151</v>
      </c>
      <c r="D133" s="149" t="s">
        <v>152</v>
      </c>
      <c r="E133" s="149" t="s">
        <v>12</v>
      </c>
      <c r="F133" s="66">
        <f>731724.97/1000</f>
        <v>731.72496999999998</v>
      </c>
      <c r="G133" s="66">
        <f>731724.97/1000</f>
        <v>731.72496999999998</v>
      </c>
      <c r="H133" s="66">
        <v>0</v>
      </c>
      <c r="I133" s="66">
        <v>0</v>
      </c>
      <c r="J133" s="66">
        <v>0</v>
      </c>
      <c r="K133" s="96" t="s">
        <v>72</v>
      </c>
    </row>
    <row r="134" spans="1:11" s="7" customFormat="1" ht="13.2" x14ac:dyDescent="0.3">
      <c r="A134" s="194" t="s">
        <v>57</v>
      </c>
      <c r="B134" s="194"/>
      <c r="C134" s="194"/>
      <c r="D134" s="194"/>
      <c r="E134" s="149"/>
      <c r="F134" s="66"/>
      <c r="G134" s="67">
        <f>SUM(G133:G133)</f>
        <v>731.72496999999998</v>
      </c>
      <c r="H134" s="67"/>
      <c r="I134" s="67"/>
      <c r="J134" s="66"/>
      <c r="K134" s="149"/>
    </row>
    <row r="135" spans="1:11" s="7" customFormat="1" ht="16.95" customHeight="1" x14ac:dyDescent="0.3">
      <c r="A135" s="194" t="s">
        <v>62</v>
      </c>
      <c r="B135" s="195"/>
      <c r="C135" s="195"/>
      <c r="D135" s="195"/>
      <c r="E135" s="149"/>
      <c r="F135" s="66"/>
      <c r="G135" s="67"/>
      <c r="H135" s="67">
        <f>SUM(H133:H133)</f>
        <v>0</v>
      </c>
      <c r="I135" s="67"/>
      <c r="J135" s="66"/>
      <c r="K135" s="149"/>
    </row>
    <row r="136" spans="1:11" s="7" customFormat="1" ht="19.95" customHeight="1" x14ac:dyDescent="0.3">
      <c r="A136" s="194" t="s">
        <v>19</v>
      </c>
      <c r="B136" s="195"/>
      <c r="C136" s="195"/>
      <c r="D136" s="195"/>
      <c r="E136" s="149"/>
      <c r="F136" s="66"/>
      <c r="G136" s="67"/>
      <c r="H136" s="67"/>
      <c r="I136" s="67">
        <f>SUM(I133:I133)</f>
        <v>0</v>
      </c>
      <c r="J136" s="66"/>
      <c r="K136" s="149"/>
    </row>
    <row r="137" spans="1:11" s="7" customFormat="1" ht="36" customHeight="1" x14ac:dyDescent="0.3">
      <c r="A137" s="95">
        <v>78</v>
      </c>
      <c r="B137" s="196" t="s">
        <v>153</v>
      </c>
      <c r="C137" s="96" t="s">
        <v>154</v>
      </c>
      <c r="D137" s="149" t="s">
        <v>91</v>
      </c>
      <c r="E137" s="149" t="s">
        <v>12</v>
      </c>
      <c r="F137" s="66">
        <v>110</v>
      </c>
      <c r="G137" s="66">
        <v>110</v>
      </c>
      <c r="H137" s="66">
        <v>0</v>
      </c>
      <c r="I137" s="66">
        <v>0</v>
      </c>
      <c r="J137" s="66">
        <v>0</v>
      </c>
      <c r="K137" s="96" t="s">
        <v>72</v>
      </c>
    </row>
    <row r="138" spans="1:11" s="7" customFormat="1" ht="69.599999999999994" customHeight="1" x14ac:dyDescent="0.3">
      <c r="A138" s="95">
        <v>79</v>
      </c>
      <c r="B138" s="196"/>
      <c r="C138" s="96" t="s">
        <v>155</v>
      </c>
      <c r="D138" s="149" t="s">
        <v>152</v>
      </c>
      <c r="E138" s="149" t="s">
        <v>12</v>
      </c>
      <c r="F138" s="66">
        <f>462743.31/1000</f>
        <v>462.74331000000001</v>
      </c>
      <c r="G138" s="66">
        <f>462743.31/1000</f>
        <v>462.74331000000001</v>
      </c>
      <c r="H138" s="66">
        <v>0</v>
      </c>
      <c r="I138" s="66">
        <v>0</v>
      </c>
      <c r="J138" s="66">
        <v>0</v>
      </c>
      <c r="K138" s="96" t="s">
        <v>72</v>
      </c>
    </row>
    <row r="139" spans="1:11" s="7" customFormat="1" ht="13.2" x14ac:dyDescent="0.3">
      <c r="A139" s="194" t="s">
        <v>57</v>
      </c>
      <c r="B139" s="194"/>
      <c r="C139" s="194"/>
      <c r="D139" s="194"/>
      <c r="E139" s="98"/>
      <c r="F139" s="66"/>
      <c r="G139" s="67">
        <f>SUM(G137:G138)</f>
        <v>572.74331000000006</v>
      </c>
      <c r="H139" s="67"/>
      <c r="I139" s="67"/>
      <c r="J139" s="66"/>
      <c r="K139" s="149"/>
    </row>
    <row r="140" spans="1:11" s="7" customFormat="1" ht="16.2" customHeight="1" x14ac:dyDescent="0.3">
      <c r="A140" s="194" t="s">
        <v>62</v>
      </c>
      <c r="B140" s="195"/>
      <c r="C140" s="195"/>
      <c r="D140" s="195"/>
      <c r="E140" s="149"/>
      <c r="F140" s="66"/>
      <c r="G140" s="67"/>
      <c r="H140" s="67">
        <f>SUM(H137:H138)</f>
        <v>0</v>
      </c>
      <c r="I140" s="67"/>
      <c r="J140" s="66"/>
      <c r="K140" s="149"/>
    </row>
    <row r="141" spans="1:11" s="7" customFormat="1" ht="15.6" customHeight="1" x14ac:dyDescent="0.3">
      <c r="A141" s="194" t="s">
        <v>19</v>
      </c>
      <c r="B141" s="195"/>
      <c r="C141" s="195"/>
      <c r="D141" s="195"/>
      <c r="E141" s="149"/>
      <c r="F141" s="66"/>
      <c r="G141" s="67"/>
      <c r="H141" s="67"/>
      <c r="I141" s="67">
        <f>SUM(I137:I138)</f>
        <v>0</v>
      </c>
      <c r="J141" s="66"/>
      <c r="K141" s="149"/>
    </row>
    <row r="142" spans="1:11" s="7" customFormat="1" ht="48.6" customHeight="1" x14ac:dyDescent="0.3">
      <c r="A142" s="95">
        <v>80</v>
      </c>
      <c r="B142" s="196" t="s">
        <v>156</v>
      </c>
      <c r="C142" s="96" t="s">
        <v>157</v>
      </c>
      <c r="D142" s="149" t="s">
        <v>75</v>
      </c>
      <c r="E142" s="149" t="s">
        <v>12</v>
      </c>
      <c r="F142" s="66">
        <v>544</v>
      </c>
      <c r="G142" s="66">
        <v>544</v>
      </c>
      <c r="H142" s="66">
        <v>0</v>
      </c>
      <c r="I142" s="66">
        <v>0</v>
      </c>
      <c r="J142" s="66">
        <v>0</v>
      </c>
      <c r="K142" s="96" t="s">
        <v>72</v>
      </c>
    </row>
    <row r="143" spans="1:11" s="7" customFormat="1" ht="84" customHeight="1" x14ac:dyDescent="0.3">
      <c r="A143" s="95">
        <v>81</v>
      </c>
      <c r="B143" s="196"/>
      <c r="C143" s="96" t="s">
        <v>158</v>
      </c>
      <c r="D143" s="149" t="s">
        <v>159</v>
      </c>
      <c r="E143" s="149" t="s">
        <v>12</v>
      </c>
      <c r="F143" s="66">
        <f>1979707.2/1000</f>
        <v>1979.7072000000001</v>
      </c>
      <c r="G143" s="66">
        <f>1979707.2/1000</f>
        <v>1979.7072000000001</v>
      </c>
      <c r="H143" s="66">
        <v>0</v>
      </c>
      <c r="I143" s="66">
        <v>0</v>
      </c>
      <c r="J143" s="66">
        <v>0</v>
      </c>
      <c r="K143" s="96" t="s">
        <v>72</v>
      </c>
    </row>
    <row r="144" spans="1:11" s="8" customFormat="1" ht="13.2" x14ac:dyDescent="0.3">
      <c r="A144" s="194" t="s">
        <v>57</v>
      </c>
      <c r="B144" s="194"/>
      <c r="C144" s="194"/>
      <c r="D144" s="194"/>
      <c r="E144" s="99"/>
      <c r="F144" s="67"/>
      <c r="G144" s="67">
        <f>SUM(G142:G143)</f>
        <v>2523.7071999999998</v>
      </c>
      <c r="H144" s="67"/>
      <c r="I144" s="67"/>
      <c r="J144" s="67"/>
      <c r="K144" s="97"/>
    </row>
    <row r="145" spans="1:11" s="8" customFormat="1" ht="17.399999999999999" customHeight="1" x14ac:dyDescent="0.3">
      <c r="A145" s="194" t="s">
        <v>62</v>
      </c>
      <c r="B145" s="195"/>
      <c r="C145" s="195"/>
      <c r="D145" s="195"/>
      <c r="E145" s="97"/>
      <c r="F145" s="67"/>
      <c r="G145" s="67"/>
      <c r="H145" s="67">
        <f>SUM(H142:H143)</f>
        <v>0</v>
      </c>
      <c r="I145" s="67"/>
      <c r="J145" s="67"/>
      <c r="K145" s="97"/>
    </row>
    <row r="146" spans="1:11" s="8" customFormat="1" ht="19.95" customHeight="1" x14ac:dyDescent="0.3">
      <c r="A146" s="194" t="s">
        <v>19</v>
      </c>
      <c r="B146" s="195"/>
      <c r="C146" s="195"/>
      <c r="D146" s="195"/>
      <c r="E146" s="97"/>
      <c r="F146" s="67"/>
      <c r="G146" s="67"/>
      <c r="H146" s="67"/>
      <c r="I146" s="67">
        <f>SUM(I142:I143)</f>
        <v>0</v>
      </c>
      <c r="J146" s="67"/>
      <c r="K146" s="97"/>
    </row>
    <row r="147" spans="1:11" s="7" customFormat="1" ht="40.799999999999997" customHeight="1" x14ac:dyDescent="0.3">
      <c r="A147" s="95">
        <v>82</v>
      </c>
      <c r="B147" s="196" t="s">
        <v>160</v>
      </c>
      <c r="C147" s="96" t="s">
        <v>161</v>
      </c>
      <c r="D147" s="149" t="s">
        <v>104</v>
      </c>
      <c r="E147" s="149" t="s">
        <v>12</v>
      </c>
      <c r="F147" s="66">
        <f>359811.9/1000</f>
        <v>359.81190000000004</v>
      </c>
      <c r="G147" s="66">
        <f>359811.9/1000</f>
        <v>359.81190000000004</v>
      </c>
      <c r="H147" s="66">
        <v>0</v>
      </c>
      <c r="I147" s="66">
        <v>0</v>
      </c>
      <c r="J147" s="66">
        <v>0</v>
      </c>
      <c r="K147" s="96" t="s">
        <v>72</v>
      </c>
    </row>
    <row r="148" spans="1:11" s="7" customFormat="1" ht="26.4" x14ac:dyDescent="0.3">
      <c r="A148" s="95">
        <v>83</v>
      </c>
      <c r="B148" s="196"/>
      <c r="C148" s="96" t="s">
        <v>162</v>
      </c>
      <c r="D148" s="149" t="s">
        <v>91</v>
      </c>
      <c r="E148" s="149" t="s">
        <v>12</v>
      </c>
      <c r="F148" s="66">
        <v>120</v>
      </c>
      <c r="G148" s="66">
        <v>120</v>
      </c>
      <c r="H148" s="66">
        <v>0</v>
      </c>
      <c r="I148" s="66">
        <v>0</v>
      </c>
      <c r="J148" s="66">
        <v>0</v>
      </c>
      <c r="K148" s="96" t="s">
        <v>69</v>
      </c>
    </row>
    <row r="149" spans="1:11" s="7" customFormat="1" ht="35.4" customHeight="1" x14ac:dyDescent="0.3">
      <c r="A149" s="95">
        <v>84</v>
      </c>
      <c r="B149" s="196"/>
      <c r="C149" s="96" t="s">
        <v>163</v>
      </c>
      <c r="D149" s="149" t="s">
        <v>49</v>
      </c>
      <c r="E149" s="149" t="s">
        <v>12</v>
      </c>
      <c r="F149" s="66">
        <f>1941840/1000</f>
        <v>1941.84</v>
      </c>
      <c r="G149" s="66">
        <f>1677240/1000</f>
        <v>1677.24</v>
      </c>
      <c r="H149" s="66">
        <v>264.60000000000002</v>
      </c>
      <c r="I149" s="66">
        <v>0</v>
      </c>
      <c r="J149" s="66">
        <v>0</v>
      </c>
      <c r="K149" s="96" t="s">
        <v>72</v>
      </c>
    </row>
    <row r="150" spans="1:11" s="8" customFormat="1" ht="13.2" x14ac:dyDescent="0.3">
      <c r="A150" s="194" t="s">
        <v>57</v>
      </c>
      <c r="B150" s="194"/>
      <c r="C150" s="194"/>
      <c r="D150" s="194"/>
      <c r="E150" s="97"/>
      <c r="F150" s="67"/>
      <c r="G150" s="67">
        <f>SUM(G147:G149)</f>
        <v>2157.0518999999999</v>
      </c>
      <c r="H150" s="67"/>
      <c r="I150" s="67"/>
      <c r="J150" s="67"/>
      <c r="K150" s="97"/>
    </row>
    <row r="151" spans="1:11" s="8" customFormat="1" ht="21" customHeight="1" x14ac:dyDescent="0.3">
      <c r="A151" s="194" t="s">
        <v>62</v>
      </c>
      <c r="B151" s="195"/>
      <c r="C151" s="195"/>
      <c r="D151" s="195"/>
      <c r="E151" s="97"/>
      <c r="F151" s="67"/>
      <c r="G151" s="67"/>
      <c r="H151" s="67">
        <f>SUM(H147:H149)</f>
        <v>264.60000000000002</v>
      </c>
      <c r="I151" s="67"/>
      <c r="J151" s="67"/>
      <c r="K151" s="97"/>
    </row>
    <row r="152" spans="1:11" s="8" customFormat="1" ht="18" customHeight="1" x14ac:dyDescent="0.3">
      <c r="A152" s="194" t="s">
        <v>19</v>
      </c>
      <c r="B152" s="195"/>
      <c r="C152" s="195"/>
      <c r="D152" s="195"/>
      <c r="E152" s="97"/>
      <c r="F152" s="67"/>
      <c r="G152" s="67"/>
      <c r="H152" s="67"/>
      <c r="I152" s="67">
        <f>SUM(I147:I149)</f>
        <v>0</v>
      </c>
      <c r="J152" s="67"/>
      <c r="K152" s="97"/>
    </row>
    <row r="153" spans="1:11" s="7" customFormat="1" ht="83.4" customHeight="1" x14ac:dyDescent="0.3">
      <c r="A153" s="95">
        <v>85</v>
      </c>
      <c r="B153" s="196" t="s">
        <v>164</v>
      </c>
      <c r="C153" s="96" t="s">
        <v>165</v>
      </c>
      <c r="D153" s="149" t="s">
        <v>166</v>
      </c>
      <c r="E153" s="149" t="s">
        <v>12</v>
      </c>
      <c r="F153" s="66">
        <v>2355</v>
      </c>
      <c r="G153" s="66">
        <v>2355</v>
      </c>
      <c r="H153" s="66">
        <v>0</v>
      </c>
      <c r="I153" s="66">
        <v>0</v>
      </c>
      <c r="J153" s="66">
        <v>0</v>
      </c>
      <c r="K153" s="96" t="s">
        <v>125</v>
      </c>
    </row>
    <row r="154" spans="1:11" s="7" customFormat="1" ht="180.6" customHeight="1" x14ac:dyDescent="0.3">
      <c r="A154" s="95">
        <v>86</v>
      </c>
      <c r="B154" s="196"/>
      <c r="C154" s="96" t="s">
        <v>167</v>
      </c>
      <c r="D154" s="149" t="s">
        <v>168</v>
      </c>
      <c r="E154" s="149" t="s">
        <v>12</v>
      </c>
      <c r="F154" s="66">
        <v>30</v>
      </c>
      <c r="G154" s="66">
        <v>30</v>
      </c>
      <c r="H154" s="66">
        <v>0</v>
      </c>
      <c r="I154" s="66">
        <v>0</v>
      </c>
      <c r="J154" s="66">
        <v>0</v>
      </c>
      <c r="K154" s="96" t="s">
        <v>169</v>
      </c>
    </row>
    <row r="155" spans="1:11" s="7" customFormat="1" ht="58.2" customHeight="1" x14ac:dyDescent="0.3">
      <c r="A155" s="95">
        <v>87</v>
      </c>
      <c r="B155" s="196"/>
      <c r="C155" s="96" t="s">
        <v>170</v>
      </c>
      <c r="D155" s="149" t="s">
        <v>171</v>
      </c>
      <c r="E155" s="149" t="s">
        <v>12</v>
      </c>
      <c r="F155" s="66">
        <v>199.3</v>
      </c>
      <c r="G155" s="66">
        <v>199.3</v>
      </c>
      <c r="H155" s="66">
        <v>0</v>
      </c>
      <c r="I155" s="66">
        <v>0</v>
      </c>
      <c r="J155" s="66">
        <v>0</v>
      </c>
      <c r="K155" s="96" t="s">
        <v>72</v>
      </c>
    </row>
    <row r="156" spans="1:11" s="7" customFormat="1" ht="44.4" customHeight="1" x14ac:dyDescent="0.3">
      <c r="A156" s="95">
        <v>88</v>
      </c>
      <c r="B156" s="196"/>
      <c r="C156" s="96" t="s">
        <v>172</v>
      </c>
      <c r="D156" s="149" t="s">
        <v>104</v>
      </c>
      <c r="E156" s="149" t="s">
        <v>12</v>
      </c>
      <c r="F156" s="66">
        <v>264</v>
      </c>
      <c r="G156" s="66">
        <v>264</v>
      </c>
      <c r="H156" s="66">
        <v>0</v>
      </c>
      <c r="I156" s="66">
        <v>0</v>
      </c>
      <c r="J156" s="66">
        <v>0</v>
      </c>
      <c r="K156" s="96" t="s">
        <v>125</v>
      </c>
    </row>
    <row r="157" spans="1:11" s="7" customFormat="1" ht="37.200000000000003" customHeight="1" x14ac:dyDescent="0.3">
      <c r="A157" s="95">
        <v>89</v>
      </c>
      <c r="B157" s="196"/>
      <c r="C157" s="96" t="s">
        <v>173</v>
      </c>
      <c r="D157" s="149" t="s">
        <v>174</v>
      </c>
      <c r="E157" s="149" t="s">
        <v>12</v>
      </c>
      <c r="F157" s="66">
        <v>1100</v>
      </c>
      <c r="G157" s="66">
        <v>1100</v>
      </c>
      <c r="H157" s="66">
        <v>0</v>
      </c>
      <c r="I157" s="66">
        <v>0</v>
      </c>
      <c r="J157" s="66">
        <v>0</v>
      </c>
      <c r="K157" s="96" t="s">
        <v>72</v>
      </c>
    </row>
    <row r="158" spans="1:11" s="8" customFormat="1" ht="13.2" x14ac:dyDescent="0.3">
      <c r="A158" s="194" t="s">
        <v>57</v>
      </c>
      <c r="B158" s="194"/>
      <c r="C158" s="194"/>
      <c r="D158" s="194"/>
      <c r="E158" s="99"/>
      <c r="F158" s="67"/>
      <c r="G158" s="67">
        <f>SUM(G153:G157)</f>
        <v>3948.3</v>
      </c>
      <c r="H158" s="67"/>
      <c r="I158" s="67"/>
      <c r="J158" s="67"/>
      <c r="K158" s="97"/>
    </row>
    <row r="159" spans="1:11" s="8" customFormat="1" ht="18" customHeight="1" x14ac:dyDescent="0.3">
      <c r="A159" s="194" t="s">
        <v>62</v>
      </c>
      <c r="B159" s="195"/>
      <c r="C159" s="195"/>
      <c r="D159" s="195"/>
      <c r="E159" s="97"/>
      <c r="F159" s="67"/>
      <c r="G159" s="67"/>
      <c r="H159" s="67">
        <f>SUM(H153:H157)</f>
        <v>0</v>
      </c>
      <c r="I159" s="67"/>
      <c r="J159" s="67"/>
      <c r="K159" s="97"/>
    </row>
    <row r="160" spans="1:11" s="8" customFormat="1" ht="16.95" customHeight="1" x14ac:dyDescent="0.3">
      <c r="A160" s="194" t="s">
        <v>19</v>
      </c>
      <c r="B160" s="195"/>
      <c r="C160" s="195"/>
      <c r="D160" s="195"/>
      <c r="E160" s="97"/>
      <c r="F160" s="67"/>
      <c r="G160" s="67"/>
      <c r="H160" s="67"/>
      <c r="I160" s="67">
        <f>SUM(I153:I157)</f>
        <v>0</v>
      </c>
      <c r="J160" s="67"/>
      <c r="K160" s="97"/>
    </row>
    <row r="161" spans="1:11" s="7" customFormat="1" ht="94.2" customHeight="1" x14ac:dyDescent="0.3">
      <c r="A161" s="95">
        <v>90</v>
      </c>
      <c r="B161" s="196" t="s">
        <v>175</v>
      </c>
      <c r="C161" s="96" t="s">
        <v>176</v>
      </c>
      <c r="D161" s="149" t="s">
        <v>101</v>
      </c>
      <c r="E161" s="149" t="s">
        <v>12</v>
      </c>
      <c r="F161" s="66">
        <f>214830.4/1000</f>
        <v>214.8304</v>
      </c>
      <c r="G161" s="66">
        <f>214830.4/1000</f>
        <v>214.8304</v>
      </c>
      <c r="H161" s="66">
        <v>0</v>
      </c>
      <c r="I161" s="66">
        <v>0</v>
      </c>
      <c r="J161" s="66">
        <v>0</v>
      </c>
      <c r="K161" s="96" t="s">
        <v>111</v>
      </c>
    </row>
    <row r="162" spans="1:11" s="7" customFormat="1" ht="33" customHeight="1" x14ac:dyDescent="0.3">
      <c r="A162" s="95">
        <v>91</v>
      </c>
      <c r="B162" s="196"/>
      <c r="C162" s="96" t="s">
        <v>177</v>
      </c>
      <c r="D162" s="149" t="s">
        <v>81</v>
      </c>
      <c r="E162" s="149" t="s">
        <v>12</v>
      </c>
      <c r="F162" s="66">
        <f>1740834.78/1000</f>
        <v>1740.8347800000001</v>
      </c>
      <c r="G162" s="66">
        <f>1740834.78/1000</f>
        <v>1740.8347800000001</v>
      </c>
      <c r="H162" s="66">
        <v>0</v>
      </c>
      <c r="I162" s="66">
        <v>0</v>
      </c>
      <c r="J162" s="66">
        <v>0</v>
      </c>
      <c r="K162" s="96" t="s">
        <v>76</v>
      </c>
    </row>
    <row r="163" spans="1:11" s="7" customFormat="1" ht="33" customHeight="1" x14ac:dyDescent="0.3">
      <c r="A163" s="95">
        <v>92</v>
      </c>
      <c r="B163" s="196"/>
      <c r="C163" s="96" t="s">
        <v>178</v>
      </c>
      <c r="D163" s="149" t="s">
        <v>75</v>
      </c>
      <c r="E163" s="149" t="s">
        <v>12</v>
      </c>
      <c r="F163" s="66">
        <v>484.5</v>
      </c>
      <c r="G163" s="66">
        <v>484.5</v>
      </c>
      <c r="H163" s="66">
        <v>0</v>
      </c>
      <c r="I163" s="66">
        <v>0</v>
      </c>
      <c r="J163" s="66">
        <v>0</v>
      </c>
      <c r="K163" s="96" t="s">
        <v>76</v>
      </c>
    </row>
    <row r="164" spans="1:11" s="7" customFormat="1" ht="171.6" x14ac:dyDescent="0.3">
      <c r="A164" s="95">
        <v>93</v>
      </c>
      <c r="B164" s="196"/>
      <c r="C164" s="96" t="s">
        <v>179</v>
      </c>
      <c r="D164" s="149" t="s">
        <v>168</v>
      </c>
      <c r="E164" s="149" t="s">
        <v>12</v>
      </c>
      <c r="F164" s="66">
        <v>250</v>
      </c>
      <c r="G164" s="66">
        <v>250</v>
      </c>
      <c r="H164" s="66">
        <v>0</v>
      </c>
      <c r="I164" s="66">
        <v>0</v>
      </c>
      <c r="J164" s="66">
        <v>0</v>
      </c>
      <c r="K164" s="96" t="s">
        <v>125</v>
      </c>
    </row>
    <row r="165" spans="1:11" s="7" customFormat="1" ht="171.6" x14ac:dyDescent="0.3">
      <c r="A165" s="95">
        <v>94</v>
      </c>
      <c r="B165" s="196"/>
      <c r="C165" s="96" t="s">
        <v>180</v>
      </c>
      <c r="D165" s="149" t="s">
        <v>168</v>
      </c>
      <c r="E165" s="149" t="s">
        <v>12</v>
      </c>
      <c r="F165" s="66">
        <v>250</v>
      </c>
      <c r="G165" s="66">
        <v>250</v>
      </c>
      <c r="H165" s="66">
        <v>0</v>
      </c>
      <c r="I165" s="66">
        <v>0</v>
      </c>
      <c r="J165" s="66">
        <v>0</v>
      </c>
      <c r="K165" s="96" t="s">
        <v>111</v>
      </c>
    </row>
    <row r="166" spans="1:11" s="7" customFormat="1" ht="26.4" x14ac:dyDescent="0.3">
      <c r="A166" s="95">
        <v>95</v>
      </c>
      <c r="B166" s="196"/>
      <c r="C166" s="96" t="s">
        <v>181</v>
      </c>
      <c r="D166" s="149" t="s">
        <v>182</v>
      </c>
      <c r="E166" s="149" t="s">
        <v>12</v>
      </c>
      <c r="F166" s="66">
        <v>1645.35</v>
      </c>
      <c r="G166" s="66">
        <v>1645.35</v>
      </c>
      <c r="H166" s="66">
        <v>0</v>
      </c>
      <c r="I166" s="66">
        <v>0</v>
      </c>
      <c r="J166" s="66">
        <v>0</v>
      </c>
      <c r="K166" s="96" t="s">
        <v>72</v>
      </c>
    </row>
    <row r="167" spans="1:11" s="8" customFormat="1" ht="13.2" x14ac:dyDescent="0.3">
      <c r="A167" s="194" t="s">
        <v>57</v>
      </c>
      <c r="B167" s="194"/>
      <c r="C167" s="194"/>
      <c r="D167" s="194"/>
      <c r="E167" s="99"/>
      <c r="F167" s="67"/>
      <c r="G167" s="67">
        <f>SUM(G161:G166)</f>
        <v>4585.5151800000003</v>
      </c>
      <c r="H167" s="67"/>
      <c r="I167" s="67"/>
      <c r="J167" s="67"/>
      <c r="K167" s="97"/>
    </row>
    <row r="168" spans="1:11" s="8" customFormat="1" ht="19.95" customHeight="1" x14ac:dyDescent="0.3">
      <c r="A168" s="194" t="s">
        <v>62</v>
      </c>
      <c r="B168" s="195"/>
      <c r="C168" s="195"/>
      <c r="D168" s="195"/>
      <c r="E168" s="97"/>
      <c r="F168" s="67"/>
      <c r="G168" s="67"/>
      <c r="H168" s="67">
        <f>SUM(H161:H166)</f>
        <v>0</v>
      </c>
      <c r="I168" s="67"/>
      <c r="J168" s="67"/>
      <c r="K168" s="97"/>
    </row>
    <row r="169" spans="1:11" s="8" customFormat="1" ht="16.95" customHeight="1" x14ac:dyDescent="0.3">
      <c r="A169" s="194" t="s">
        <v>19</v>
      </c>
      <c r="B169" s="195"/>
      <c r="C169" s="195"/>
      <c r="D169" s="195"/>
      <c r="E169" s="97"/>
      <c r="F169" s="67"/>
      <c r="G169" s="67"/>
      <c r="H169" s="67"/>
      <c r="I169" s="67">
        <f>SUM(I161:I166)</f>
        <v>0</v>
      </c>
      <c r="J169" s="67"/>
      <c r="K169" s="97"/>
    </row>
    <row r="170" spans="1:11" s="7" customFormat="1" ht="67.2" customHeight="1" x14ac:dyDescent="0.3">
      <c r="A170" s="95">
        <v>96</v>
      </c>
      <c r="B170" s="196" t="s">
        <v>183</v>
      </c>
      <c r="C170" s="96" t="s">
        <v>184</v>
      </c>
      <c r="D170" s="149" t="s">
        <v>152</v>
      </c>
      <c r="E170" s="149" t="s">
        <v>12</v>
      </c>
      <c r="F170" s="66">
        <f>53964.28/1000</f>
        <v>53.964280000000002</v>
      </c>
      <c r="G170" s="66">
        <v>0</v>
      </c>
      <c r="H170" s="66">
        <f>53964.28/1000</f>
        <v>53.964280000000002</v>
      </c>
      <c r="I170" s="66">
        <v>0</v>
      </c>
      <c r="J170" s="66">
        <v>0</v>
      </c>
      <c r="K170" s="96" t="s">
        <v>111</v>
      </c>
    </row>
    <row r="171" spans="1:11" s="7" customFormat="1" ht="65.400000000000006" customHeight="1" x14ac:dyDescent="0.3">
      <c r="A171" s="95">
        <v>97</v>
      </c>
      <c r="B171" s="196"/>
      <c r="C171" s="96" t="s">
        <v>185</v>
      </c>
      <c r="D171" s="149" t="s">
        <v>93</v>
      </c>
      <c r="E171" s="149" t="s">
        <v>12</v>
      </c>
      <c r="F171" s="66">
        <f>1740834.78/1000</f>
        <v>1740.8347800000001</v>
      </c>
      <c r="G171" s="66">
        <f>1740834.78/1000</f>
        <v>1740.8347800000001</v>
      </c>
      <c r="H171" s="66">
        <v>0</v>
      </c>
      <c r="I171" s="66">
        <v>0</v>
      </c>
      <c r="J171" s="66">
        <v>0</v>
      </c>
      <c r="K171" s="96" t="s">
        <v>76</v>
      </c>
    </row>
    <row r="172" spans="1:11" s="7" customFormat="1" ht="40.200000000000003" customHeight="1" x14ac:dyDescent="0.3">
      <c r="A172" s="95">
        <v>98</v>
      </c>
      <c r="B172" s="196"/>
      <c r="C172" s="96" t="s">
        <v>186</v>
      </c>
      <c r="D172" s="149" t="s">
        <v>187</v>
      </c>
      <c r="E172" s="149" t="s">
        <v>12</v>
      </c>
      <c r="F172" s="66">
        <v>247.4</v>
      </c>
      <c r="G172" s="66">
        <v>247.4</v>
      </c>
      <c r="H172" s="66">
        <v>0</v>
      </c>
      <c r="I172" s="66">
        <v>0</v>
      </c>
      <c r="J172" s="66">
        <v>0</v>
      </c>
      <c r="K172" s="96" t="s">
        <v>72</v>
      </c>
    </row>
    <row r="173" spans="1:11" s="7" customFormat="1" ht="70.8" customHeight="1" x14ac:dyDescent="0.3">
      <c r="A173" s="95">
        <v>99</v>
      </c>
      <c r="B173" s="196"/>
      <c r="C173" s="96" t="s">
        <v>188</v>
      </c>
      <c r="D173" s="149" t="s">
        <v>189</v>
      </c>
      <c r="E173" s="149" t="s">
        <v>12</v>
      </c>
      <c r="F173" s="66">
        <f>103768.7/1000</f>
        <v>103.7687</v>
      </c>
      <c r="G173" s="66">
        <f>103768.7/1000</f>
        <v>103.7687</v>
      </c>
      <c r="H173" s="66">
        <v>0</v>
      </c>
      <c r="I173" s="66">
        <v>0</v>
      </c>
      <c r="J173" s="66">
        <v>0</v>
      </c>
      <c r="K173" s="96" t="s">
        <v>72</v>
      </c>
    </row>
    <row r="174" spans="1:11" s="8" customFormat="1" ht="13.2" x14ac:dyDescent="0.3">
      <c r="A174" s="194" t="s">
        <v>57</v>
      </c>
      <c r="B174" s="194"/>
      <c r="C174" s="194"/>
      <c r="D174" s="194"/>
      <c r="E174" s="97"/>
      <c r="F174" s="67"/>
      <c r="G174" s="67">
        <f>SUM(G170:G173)</f>
        <v>2092.0034800000003</v>
      </c>
      <c r="H174" s="67"/>
      <c r="I174" s="67"/>
      <c r="J174" s="67"/>
      <c r="K174" s="97"/>
    </row>
    <row r="175" spans="1:11" s="8" customFormat="1" ht="18" customHeight="1" x14ac:dyDescent="0.3">
      <c r="A175" s="194" t="s">
        <v>62</v>
      </c>
      <c r="B175" s="195"/>
      <c r="C175" s="195"/>
      <c r="D175" s="195"/>
      <c r="E175" s="97"/>
      <c r="F175" s="67"/>
      <c r="G175" s="67"/>
      <c r="H175" s="67">
        <f>SUM(H170:H173)</f>
        <v>53.964280000000002</v>
      </c>
      <c r="I175" s="67"/>
      <c r="J175" s="67"/>
      <c r="K175" s="97"/>
    </row>
    <row r="176" spans="1:11" s="8" customFormat="1" ht="13.95" customHeight="1" x14ac:dyDescent="0.3">
      <c r="A176" s="194" t="s">
        <v>19</v>
      </c>
      <c r="B176" s="195"/>
      <c r="C176" s="195"/>
      <c r="D176" s="195"/>
      <c r="E176" s="97"/>
      <c r="F176" s="67"/>
      <c r="G176" s="67"/>
      <c r="H176" s="67"/>
      <c r="I176" s="67">
        <f>SUM(I170:I173)</f>
        <v>0</v>
      </c>
      <c r="J176" s="67"/>
      <c r="K176" s="97"/>
    </row>
    <row r="177" spans="1:11" s="7" customFormat="1" ht="39.6" x14ac:dyDescent="0.3">
      <c r="A177" s="95">
        <v>100</v>
      </c>
      <c r="B177" s="196" t="s">
        <v>190</v>
      </c>
      <c r="C177" s="96" t="s">
        <v>191</v>
      </c>
      <c r="D177" s="149" t="s">
        <v>98</v>
      </c>
      <c r="E177" s="149" t="s">
        <v>12</v>
      </c>
      <c r="F177" s="66">
        <v>552.29999999999995</v>
      </c>
      <c r="G177" s="66">
        <v>552.29999999999995</v>
      </c>
      <c r="H177" s="66">
        <v>0</v>
      </c>
      <c r="I177" s="66">
        <v>0</v>
      </c>
      <c r="J177" s="66">
        <v>0</v>
      </c>
      <c r="K177" s="96" t="s">
        <v>72</v>
      </c>
    </row>
    <row r="178" spans="1:11" s="7" customFormat="1" ht="42" customHeight="1" x14ac:dyDescent="0.3">
      <c r="A178" s="95">
        <v>101</v>
      </c>
      <c r="B178" s="196"/>
      <c r="C178" s="96" t="s">
        <v>192</v>
      </c>
      <c r="D178" s="149" t="s">
        <v>182</v>
      </c>
      <c r="E178" s="149" t="s">
        <v>12</v>
      </c>
      <c r="F178" s="66">
        <v>7000</v>
      </c>
      <c r="G178" s="66">
        <v>7000</v>
      </c>
      <c r="H178" s="66">
        <v>0</v>
      </c>
      <c r="I178" s="66">
        <v>0</v>
      </c>
      <c r="J178" s="66">
        <v>0</v>
      </c>
      <c r="K178" s="96" t="s">
        <v>72</v>
      </c>
    </row>
    <row r="179" spans="1:11" s="7" customFormat="1" ht="37.799999999999997" customHeight="1" x14ac:dyDescent="0.3">
      <c r="A179" s="95">
        <v>102</v>
      </c>
      <c r="B179" s="196"/>
      <c r="C179" s="96" t="s">
        <v>193</v>
      </c>
      <c r="D179" s="149" t="s">
        <v>194</v>
      </c>
      <c r="E179" s="149" t="s">
        <v>12</v>
      </c>
      <c r="F179" s="66">
        <v>10857</v>
      </c>
      <c r="G179" s="66">
        <v>10857</v>
      </c>
      <c r="H179" s="66">
        <v>0</v>
      </c>
      <c r="I179" s="66">
        <v>0</v>
      </c>
      <c r="J179" s="66">
        <v>0</v>
      </c>
      <c r="K179" s="96" t="s">
        <v>72</v>
      </c>
    </row>
    <row r="180" spans="1:11" s="7" customFormat="1" ht="26.4" x14ac:dyDescent="0.3">
      <c r="A180" s="95">
        <v>103</v>
      </c>
      <c r="B180" s="196"/>
      <c r="C180" s="96" t="s">
        <v>195</v>
      </c>
      <c r="D180" s="149" t="s">
        <v>196</v>
      </c>
      <c r="E180" s="149" t="s">
        <v>12</v>
      </c>
      <c r="F180" s="66">
        <v>2700</v>
      </c>
      <c r="G180" s="66">
        <v>2700</v>
      </c>
      <c r="H180" s="66">
        <v>0</v>
      </c>
      <c r="I180" s="66">
        <v>0</v>
      </c>
      <c r="J180" s="66">
        <v>0</v>
      </c>
      <c r="K180" s="96" t="s">
        <v>72</v>
      </c>
    </row>
    <row r="181" spans="1:11" s="7" customFormat="1" ht="67.8" customHeight="1" x14ac:dyDescent="0.3">
      <c r="A181" s="95">
        <v>104</v>
      </c>
      <c r="B181" s="196"/>
      <c r="C181" s="96" t="s">
        <v>197</v>
      </c>
      <c r="D181" s="149" t="s">
        <v>93</v>
      </c>
      <c r="E181" s="149" t="s">
        <v>12</v>
      </c>
      <c r="F181" s="66">
        <f>1267723.31/1000</f>
        <v>1267.7233100000001</v>
      </c>
      <c r="G181" s="66">
        <f>1267723.31/1000</f>
        <v>1267.7233100000001</v>
      </c>
      <c r="H181" s="66">
        <v>0</v>
      </c>
      <c r="I181" s="66">
        <v>0</v>
      </c>
      <c r="J181" s="66">
        <v>0</v>
      </c>
      <c r="K181" s="96" t="s">
        <v>72</v>
      </c>
    </row>
    <row r="182" spans="1:11" s="7" customFormat="1" ht="43.8" customHeight="1" x14ac:dyDescent="0.3">
      <c r="A182" s="95">
        <v>105</v>
      </c>
      <c r="B182" s="196"/>
      <c r="C182" s="96" t="s">
        <v>198</v>
      </c>
      <c r="D182" s="149" t="s">
        <v>104</v>
      </c>
      <c r="E182" s="149" t="s">
        <v>12</v>
      </c>
      <c r="F182" s="66">
        <f>2499952/1000</f>
        <v>2499.9520000000002</v>
      </c>
      <c r="G182" s="66">
        <f>2499952/1000</f>
        <v>2499.9520000000002</v>
      </c>
      <c r="H182" s="66">
        <v>0</v>
      </c>
      <c r="I182" s="66">
        <v>0</v>
      </c>
      <c r="J182" s="66">
        <v>0</v>
      </c>
      <c r="K182" s="96" t="s">
        <v>72</v>
      </c>
    </row>
    <row r="183" spans="1:11" s="8" customFormat="1" ht="13.2" x14ac:dyDescent="0.3">
      <c r="A183" s="194" t="s">
        <v>57</v>
      </c>
      <c r="B183" s="194"/>
      <c r="C183" s="194"/>
      <c r="D183" s="194"/>
      <c r="E183" s="97"/>
      <c r="F183" s="67"/>
      <c r="G183" s="67">
        <f>SUM(G177:G182)</f>
        <v>24876.975310000002</v>
      </c>
      <c r="H183" s="67"/>
      <c r="I183" s="67"/>
      <c r="J183" s="67"/>
      <c r="K183" s="97"/>
    </row>
    <row r="184" spans="1:11" s="8" customFormat="1" ht="20.399999999999999" customHeight="1" x14ac:dyDescent="0.3">
      <c r="A184" s="194" t="s">
        <v>62</v>
      </c>
      <c r="B184" s="195"/>
      <c r="C184" s="195"/>
      <c r="D184" s="195"/>
      <c r="E184" s="97"/>
      <c r="F184" s="67"/>
      <c r="G184" s="67"/>
      <c r="H184" s="67">
        <f>SUM(H177:H182)</f>
        <v>0</v>
      </c>
      <c r="I184" s="67"/>
      <c r="J184" s="67"/>
      <c r="K184" s="97"/>
    </row>
    <row r="185" spans="1:11" s="8" customFormat="1" ht="15.6" customHeight="1" x14ac:dyDescent="0.3">
      <c r="A185" s="194" t="s">
        <v>19</v>
      </c>
      <c r="B185" s="195"/>
      <c r="C185" s="195"/>
      <c r="D185" s="195"/>
      <c r="E185" s="97"/>
      <c r="F185" s="67"/>
      <c r="G185" s="67"/>
      <c r="H185" s="67"/>
      <c r="I185" s="67">
        <f>SUM(I177:I182)</f>
        <v>0</v>
      </c>
      <c r="J185" s="67"/>
      <c r="K185" s="97"/>
    </row>
    <row r="186" spans="1:11" s="7" customFormat="1" ht="67.2" customHeight="1" x14ac:dyDescent="0.3">
      <c r="A186" s="95">
        <v>106</v>
      </c>
      <c r="B186" s="149" t="s">
        <v>199</v>
      </c>
      <c r="C186" s="96" t="s">
        <v>200</v>
      </c>
      <c r="D186" s="149" t="s">
        <v>116</v>
      </c>
      <c r="E186" s="149" t="s">
        <v>12</v>
      </c>
      <c r="F186" s="66">
        <f>752700.44/1000</f>
        <v>752.70043999999996</v>
      </c>
      <c r="G186" s="66">
        <f>752700.44/1000</f>
        <v>752.70043999999996</v>
      </c>
      <c r="H186" s="66">
        <v>0</v>
      </c>
      <c r="I186" s="66">
        <f>SUM(I177:I182)</f>
        <v>0</v>
      </c>
      <c r="J186" s="66">
        <v>0</v>
      </c>
      <c r="K186" s="96" t="s">
        <v>72</v>
      </c>
    </row>
    <row r="187" spans="1:11" s="8" customFormat="1" ht="18.600000000000001" customHeight="1" x14ac:dyDescent="0.3">
      <c r="A187" s="194" t="s">
        <v>57</v>
      </c>
      <c r="B187" s="194"/>
      <c r="C187" s="194"/>
      <c r="D187" s="194"/>
      <c r="E187" s="97"/>
      <c r="F187" s="67"/>
      <c r="G187" s="67">
        <f>SUM(G186:G186)</f>
        <v>752.70043999999996</v>
      </c>
      <c r="H187" s="67"/>
      <c r="I187" s="67"/>
      <c r="J187" s="67"/>
      <c r="K187" s="97"/>
    </row>
    <row r="188" spans="1:11" s="8" customFormat="1" ht="15.6" customHeight="1" x14ac:dyDescent="0.3">
      <c r="A188" s="194" t="s">
        <v>62</v>
      </c>
      <c r="B188" s="195"/>
      <c r="C188" s="195"/>
      <c r="D188" s="195"/>
      <c r="E188" s="97"/>
      <c r="F188" s="67"/>
      <c r="G188" s="67"/>
      <c r="H188" s="67">
        <f>SUM(H186:H186)</f>
        <v>0</v>
      </c>
      <c r="I188" s="67"/>
      <c r="J188" s="67"/>
      <c r="K188" s="97"/>
    </row>
    <row r="189" spans="1:11" s="8" customFormat="1" ht="19.2" customHeight="1" x14ac:dyDescent="0.3">
      <c r="A189" s="194" t="s">
        <v>19</v>
      </c>
      <c r="B189" s="195"/>
      <c r="C189" s="195"/>
      <c r="D189" s="195"/>
      <c r="E189" s="97"/>
      <c r="F189" s="67"/>
      <c r="G189" s="67"/>
      <c r="H189" s="67"/>
      <c r="I189" s="67">
        <f>SUM(I186:I186)</f>
        <v>0</v>
      </c>
      <c r="J189" s="67"/>
      <c r="K189" s="97"/>
    </row>
    <row r="190" spans="1:11" s="7" customFormat="1" ht="66.599999999999994" customHeight="1" x14ac:dyDescent="0.3">
      <c r="A190" s="95">
        <v>107</v>
      </c>
      <c r="B190" s="196" t="s">
        <v>201</v>
      </c>
      <c r="C190" s="96" t="s">
        <v>202</v>
      </c>
      <c r="D190" s="149" t="s">
        <v>88</v>
      </c>
      <c r="E190" s="149" t="s">
        <v>12</v>
      </c>
      <c r="F190" s="66">
        <v>3000</v>
      </c>
      <c r="G190" s="66">
        <v>3000</v>
      </c>
      <c r="H190" s="66">
        <v>0</v>
      </c>
      <c r="I190" s="66">
        <v>0</v>
      </c>
      <c r="J190" s="66">
        <v>0</v>
      </c>
      <c r="K190" s="96" t="s">
        <v>72</v>
      </c>
    </row>
    <row r="191" spans="1:11" s="7" customFormat="1" ht="50.4" customHeight="1" x14ac:dyDescent="0.3">
      <c r="A191" s="95">
        <v>108</v>
      </c>
      <c r="B191" s="196"/>
      <c r="C191" s="96" t="s">
        <v>203</v>
      </c>
      <c r="D191" s="149" t="s">
        <v>104</v>
      </c>
      <c r="E191" s="149" t="s">
        <v>12</v>
      </c>
      <c r="F191" s="66">
        <f>9968200/1000</f>
        <v>9968.2000000000007</v>
      </c>
      <c r="G191" s="66">
        <f>9968200/1000</f>
        <v>9968.2000000000007</v>
      </c>
      <c r="H191" s="66">
        <v>0</v>
      </c>
      <c r="I191" s="66">
        <v>0</v>
      </c>
      <c r="J191" s="66">
        <v>0</v>
      </c>
      <c r="K191" s="96" t="s">
        <v>72</v>
      </c>
    </row>
    <row r="192" spans="1:11" s="7" customFormat="1" ht="15.6" customHeight="1" x14ac:dyDescent="0.3">
      <c r="A192" s="194" t="s">
        <v>57</v>
      </c>
      <c r="B192" s="194"/>
      <c r="C192" s="194"/>
      <c r="D192" s="194"/>
      <c r="E192" s="149"/>
      <c r="F192" s="66"/>
      <c r="G192" s="67">
        <f>SUM(G190:G191)</f>
        <v>12968.2</v>
      </c>
      <c r="H192" s="67"/>
      <c r="I192" s="67"/>
      <c r="J192" s="66"/>
      <c r="K192" s="149"/>
    </row>
    <row r="193" spans="1:11" s="7" customFormat="1" ht="18.600000000000001" customHeight="1" x14ac:dyDescent="0.3">
      <c r="A193" s="194" t="s">
        <v>62</v>
      </c>
      <c r="B193" s="195"/>
      <c r="C193" s="195"/>
      <c r="D193" s="195"/>
      <c r="E193" s="149"/>
      <c r="F193" s="66"/>
      <c r="G193" s="67"/>
      <c r="H193" s="67">
        <f>SUM(H190:H191)</f>
        <v>0</v>
      </c>
      <c r="I193" s="67"/>
      <c r="J193" s="66"/>
      <c r="K193" s="149"/>
    </row>
    <row r="194" spans="1:11" s="7" customFormat="1" ht="18.600000000000001" customHeight="1" x14ac:dyDescent="0.3">
      <c r="A194" s="194" t="s">
        <v>19</v>
      </c>
      <c r="B194" s="195"/>
      <c r="C194" s="195"/>
      <c r="D194" s="195"/>
      <c r="E194" s="149"/>
      <c r="F194" s="66"/>
      <c r="G194" s="67"/>
      <c r="H194" s="67"/>
      <c r="I194" s="67">
        <f>SUM(I190:I191)</f>
        <v>0</v>
      </c>
      <c r="J194" s="66"/>
      <c r="K194" s="149"/>
    </row>
    <row r="195" spans="1:11" s="7" customFormat="1" ht="81.599999999999994" customHeight="1" x14ac:dyDescent="0.3">
      <c r="A195" s="95">
        <v>109</v>
      </c>
      <c r="B195" s="149" t="s">
        <v>204</v>
      </c>
      <c r="C195" s="96" t="s">
        <v>205</v>
      </c>
      <c r="D195" s="149" t="s">
        <v>206</v>
      </c>
      <c r="E195" s="149" t="s">
        <v>12</v>
      </c>
      <c r="F195" s="66">
        <v>3000</v>
      </c>
      <c r="G195" s="66">
        <v>3000</v>
      </c>
      <c r="H195" s="66">
        <v>0</v>
      </c>
      <c r="I195" s="66">
        <v>0</v>
      </c>
      <c r="J195" s="66">
        <v>0</v>
      </c>
      <c r="K195" s="96" t="s">
        <v>72</v>
      </c>
    </row>
    <row r="196" spans="1:11" s="8" customFormat="1" ht="13.2" x14ac:dyDescent="0.3">
      <c r="A196" s="194" t="s">
        <v>57</v>
      </c>
      <c r="B196" s="194"/>
      <c r="C196" s="194"/>
      <c r="D196" s="194"/>
      <c r="E196" s="97"/>
      <c r="F196" s="67"/>
      <c r="G196" s="67">
        <f>SUM(G195:G195)</f>
        <v>3000</v>
      </c>
      <c r="H196" s="67"/>
      <c r="I196" s="67"/>
      <c r="J196" s="67"/>
      <c r="K196" s="97"/>
    </row>
    <row r="197" spans="1:11" s="8" customFormat="1" ht="19.95" customHeight="1" x14ac:dyDescent="0.3">
      <c r="A197" s="194" t="s">
        <v>62</v>
      </c>
      <c r="B197" s="195"/>
      <c r="C197" s="195"/>
      <c r="D197" s="195"/>
      <c r="E197" s="97"/>
      <c r="F197" s="67"/>
      <c r="G197" s="67"/>
      <c r="H197" s="67">
        <f>SUM(H195)</f>
        <v>0</v>
      </c>
      <c r="I197" s="67"/>
      <c r="J197" s="67"/>
      <c r="K197" s="97"/>
    </row>
    <row r="198" spans="1:11" s="8" customFormat="1" ht="16.95" customHeight="1" x14ac:dyDescent="0.3">
      <c r="A198" s="194" t="s">
        <v>19</v>
      </c>
      <c r="B198" s="195"/>
      <c r="C198" s="195"/>
      <c r="D198" s="195"/>
      <c r="E198" s="97"/>
      <c r="F198" s="67"/>
      <c r="G198" s="67"/>
      <c r="H198" s="67"/>
      <c r="I198" s="67">
        <f>SUM(I195)</f>
        <v>0</v>
      </c>
      <c r="J198" s="67"/>
      <c r="K198" s="97"/>
    </row>
    <row r="199" spans="1:11" s="7" customFormat="1" ht="65.400000000000006" customHeight="1" x14ac:dyDescent="0.3">
      <c r="A199" s="95">
        <v>110</v>
      </c>
      <c r="B199" s="149" t="s">
        <v>207</v>
      </c>
      <c r="C199" s="96" t="s">
        <v>208</v>
      </c>
      <c r="D199" s="149" t="s">
        <v>209</v>
      </c>
      <c r="E199" s="149" t="s">
        <v>12</v>
      </c>
      <c r="F199" s="66">
        <v>530</v>
      </c>
      <c r="G199" s="66">
        <v>530</v>
      </c>
      <c r="H199" s="66">
        <v>0</v>
      </c>
      <c r="I199" s="66">
        <v>0</v>
      </c>
      <c r="J199" s="66">
        <v>0</v>
      </c>
      <c r="K199" s="96" t="s">
        <v>76</v>
      </c>
    </row>
    <row r="200" spans="1:11" s="8" customFormat="1" ht="13.2" x14ac:dyDescent="0.3">
      <c r="A200" s="194" t="s">
        <v>57</v>
      </c>
      <c r="B200" s="194"/>
      <c r="C200" s="194"/>
      <c r="D200" s="194"/>
      <c r="E200" s="97"/>
      <c r="F200" s="67"/>
      <c r="G200" s="67">
        <f>SUM(G199:G199)</f>
        <v>530</v>
      </c>
      <c r="H200" s="67"/>
      <c r="I200" s="67"/>
      <c r="J200" s="67"/>
      <c r="K200" s="97"/>
    </row>
    <row r="201" spans="1:11" s="8" customFormat="1" ht="17.399999999999999" customHeight="1" x14ac:dyDescent="0.3">
      <c r="A201" s="194" t="s">
        <v>62</v>
      </c>
      <c r="B201" s="195"/>
      <c r="C201" s="195"/>
      <c r="D201" s="195"/>
      <c r="E201" s="97"/>
      <c r="F201" s="67"/>
      <c r="G201" s="67"/>
      <c r="H201" s="67">
        <f>SUM(H199:H199)</f>
        <v>0</v>
      </c>
      <c r="I201" s="67"/>
      <c r="J201" s="67"/>
      <c r="K201" s="97"/>
    </row>
    <row r="202" spans="1:11" s="8" customFormat="1" ht="16.95" customHeight="1" x14ac:dyDescent="0.3">
      <c r="A202" s="194" t="s">
        <v>19</v>
      </c>
      <c r="B202" s="195"/>
      <c r="C202" s="195"/>
      <c r="D202" s="195"/>
      <c r="E202" s="97"/>
      <c r="F202" s="67"/>
      <c r="G202" s="67"/>
      <c r="H202" s="67"/>
      <c r="I202" s="67">
        <f>SUM(I199:I199)</f>
        <v>0</v>
      </c>
      <c r="J202" s="67"/>
      <c r="K202" s="97"/>
    </row>
    <row r="203" spans="1:11" s="7" customFormat="1" ht="64.8" customHeight="1" x14ac:dyDescent="0.3">
      <c r="A203" s="95">
        <v>111</v>
      </c>
      <c r="B203" s="196" t="s">
        <v>210</v>
      </c>
      <c r="C203" s="96" t="s">
        <v>211</v>
      </c>
      <c r="D203" s="149" t="s">
        <v>93</v>
      </c>
      <c r="E203" s="149" t="s">
        <v>12</v>
      </c>
      <c r="F203" s="66">
        <v>300</v>
      </c>
      <c r="G203" s="66">
        <v>300</v>
      </c>
      <c r="H203" s="66">
        <v>0</v>
      </c>
      <c r="I203" s="66">
        <v>0</v>
      </c>
      <c r="J203" s="66">
        <v>0</v>
      </c>
      <c r="K203" s="96" t="s">
        <v>72</v>
      </c>
    </row>
    <row r="204" spans="1:11" s="7" customFormat="1" ht="26.4" x14ac:dyDescent="0.3">
      <c r="A204" s="95">
        <v>112</v>
      </c>
      <c r="B204" s="196"/>
      <c r="C204" s="96" t="s">
        <v>212</v>
      </c>
      <c r="D204" s="149" t="s">
        <v>91</v>
      </c>
      <c r="E204" s="149" t="s">
        <v>12</v>
      </c>
      <c r="F204" s="66">
        <v>101</v>
      </c>
      <c r="G204" s="66">
        <v>101</v>
      </c>
      <c r="H204" s="66">
        <v>0</v>
      </c>
      <c r="I204" s="66">
        <v>0</v>
      </c>
      <c r="J204" s="66">
        <v>0</v>
      </c>
      <c r="K204" s="96" t="s">
        <v>69</v>
      </c>
    </row>
    <row r="205" spans="1:11" s="7" customFormat="1" ht="26.4" x14ac:dyDescent="0.3">
      <c r="A205" s="95">
        <v>113</v>
      </c>
      <c r="B205" s="196"/>
      <c r="C205" s="96" t="s">
        <v>213</v>
      </c>
      <c r="D205" s="149" t="s">
        <v>214</v>
      </c>
      <c r="E205" s="149" t="s">
        <v>12</v>
      </c>
      <c r="F205" s="66">
        <v>1782.482</v>
      </c>
      <c r="G205" s="66">
        <v>1782.482</v>
      </c>
      <c r="H205" s="66">
        <v>0</v>
      </c>
      <c r="I205" s="66">
        <v>0</v>
      </c>
      <c r="J205" s="66">
        <v>0</v>
      </c>
      <c r="K205" s="96" t="s">
        <v>72</v>
      </c>
    </row>
    <row r="206" spans="1:11" s="8" customFormat="1" ht="17.399999999999999" customHeight="1" x14ac:dyDescent="0.3">
      <c r="A206" s="194" t="s">
        <v>57</v>
      </c>
      <c r="B206" s="194"/>
      <c r="C206" s="194"/>
      <c r="D206" s="194"/>
      <c r="E206" s="97"/>
      <c r="F206" s="67"/>
      <c r="G206" s="67">
        <f>SUM(G203:G205)</f>
        <v>2183.482</v>
      </c>
      <c r="H206" s="67"/>
      <c r="I206" s="67"/>
      <c r="J206" s="67"/>
      <c r="K206" s="97"/>
    </row>
    <row r="207" spans="1:11" s="8" customFormat="1" ht="13.2" customHeight="1" x14ac:dyDescent="0.3">
      <c r="A207" s="194" t="s">
        <v>62</v>
      </c>
      <c r="B207" s="195"/>
      <c r="C207" s="195"/>
      <c r="D207" s="195"/>
      <c r="E207" s="97"/>
      <c r="F207" s="67"/>
      <c r="G207" s="67"/>
      <c r="H207" s="67">
        <f>SUM(H203:H205)</f>
        <v>0</v>
      </c>
      <c r="I207" s="67"/>
      <c r="J207" s="67"/>
      <c r="K207" s="97"/>
    </row>
    <row r="208" spans="1:11" s="8" customFormat="1" ht="17.399999999999999" customHeight="1" x14ac:dyDescent="0.3">
      <c r="A208" s="194" t="s">
        <v>19</v>
      </c>
      <c r="B208" s="195"/>
      <c r="C208" s="195"/>
      <c r="D208" s="195"/>
      <c r="E208" s="97"/>
      <c r="F208" s="67"/>
      <c r="G208" s="67"/>
      <c r="H208" s="67"/>
      <c r="I208" s="67">
        <f>SUM(I203:I205)</f>
        <v>0</v>
      </c>
      <c r="J208" s="67"/>
      <c r="K208" s="97"/>
    </row>
    <row r="209" spans="1:11" s="7" customFormat="1" ht="63.6" customHeight="1" x14ac:dyDescent="0.3">
      <c r="A209" s="95">
        <v>114</v>
      </c>
      <c r="B209" s="196" t="s">
        <v>215</v>
      </c>
      <c r="C209" s="96" t="s">
        <v>216</v>
      </c>
      <c r="D209" s="149" t="s">
        <v>93</v>
      </c>
      <c r="E209" s="149" t="s">
        <v>12</v>
      </c>
      <c r="F209" s="66">
        <v>600</v>
      </c>
      <c r="G209" s="66">
        <v>600</v>
      </c>
      <c r="H209" s="66">
        <v>0</v>
      </c>
      <c r="I209" s="66">
        <v>0</v>
      </c>
      <c r="J209" s="66">
        <v>0</v>
      </c>
      <c r="K209" s="96" t="s">
        <v>72</v>
      </c>
    </row>
    <row r="210" spans="1:11" s="7" customFormat="1" ht="26.4" x14ac:dyDescent="0.3">
      <c r="A210" s="95">
        <v>115</v>
      </c>
      <c r="B210" s="196"/>
      <c r="C210" s="96" t="s">
        <v>217</v>
      </c>
      <c r="D210" s="149" t="s">
        <v>91</v>
      </c>
      <c r="E210" s="149" t="s">
        <v>12</v>
      </c>
      <c r="F210" s="66">
        <v>300</v>
      </c>
      <c r="G210" s="66">
        <v>300</v>
      </c>
      <c r="H210" s="66">
        <v>0</v>
      </c>
      <c r="I210" s="66">
        <v>0</v>
      </c>
      <c r="J210" s="66">
        <v>0</v>
      </c>
      <c r="K210" s="96" t="s">
        <v>72</v>
      </c>
    </row>
    <row r="211" spans="1:11" s="7" customFormat="1" ht="66" customHeight="1" x14ac:dyDescent="0.3">
      <c r="A211" s="95">
        <v>116</v>
      </c>
      <c r="B211" s="196"/>
      <c r="C211" s="96" t="s">
        <v>218</v>
      </c>
      <c r="D211" s="149" t="s">
        <v>152</v>
      </c>
      <c r="E211" s="149" t="s">
        <v>12</v>
      </c>
      <c r="F211" s="66">
        <v>623.70000000000005</v>
      </c>
      <c r="G211" s="66">
        <v>623.70000000000005</v>
      </c>
      <c r="H211" s="66">
        <v>0</v>
      </c>
      <c r="I211" s="66">
        <v>0</v>
      </c>
      <c r="J211" s="66">
        <v>0</v>
      </c>
      <c r="K211" s="96" t="s">
        <v>72</v>
      </c>
    </row>
    <row r="212" spans="1:11" s="8" customFormat="1" ht="13.2" x14ac:dyDescent="0.3">
      <c r="A212" s="194" t="s">
        <v>57</v>
      </c>
      <c r="B212" s="194"/>
      <c r="C212" s="194"/>
      <c r="D212" s="194"/>
      <c r="E212" s="97"/>
      <c r="F212" s="67"/>
      <c r="G212" s="67">
        <f>SUM(G209:G211)</f>
        <v>1523.7</v>
      </c>
      <c r="H212" s="67"/>
      <c r="I212" s="67"/>
      <c r="J212" s="67"/>
      <c r="K212" s="97"/>
    </row>
    <row r="213" spans="1:11" s="8" customFormat="1" ht="18.600000000000001" customHeight="1" x14ac:dyDescent="0.3">
      <c r="A213" s="194" t="s">
        <v>62</v>
      </c>
      <c r="B213" s="195"/>
      <c r="C213" s="195"/>
      <c r="D213" s="195"/>
      <c r="E213" s="97"/>
      <c r="F213" s="67"/>
      <c r="G213" s="67"/>
      <c r="H213" s="67">
        <f>SUM(H209:H211)</f>
        <v>0</v>
      </c>
      <c r="I213" s="67"/>
      <c r="J213" s="67"/>
      <c r="K213" s="97"/>
    </row>
    <row r="214" spans="1:11" s="8" customFormat="1" ht="11.4" customHeight="1" x14ac:dyDescent="0.3">
      <c r="A214" s="194" t="s">
        <v>19</v>
      </c>
      <c r="B214" s="195"/>
      <c r="C214" s="195"/>
      <c r="D214" s="195"/>
      <c r="E214" s="97"/>
      <c r="F214" s="67"/>
      <c r="G214" s="67"/>
      <c r="H214" s="67"/>
      <c r="I214" s="67">
        <f>SUM(I209:I211)</f>
        <v>0</v>
      </c>
      <c r="J214" s="67"/>
      <c r="K214" s="97"/>
    </row>
    <row r="215" spans="1:11" s="7" customFormat="1" ht="86.4" customHeight="1" x14ac:dyDescent="0.3">
      <c r="A215" s="95">
        <v>117</v>
      </c>
      <c r="B215" s="196" t="s">
        <v>219</v>
      </c>
      <c r="C215" s="96" t="s">
        <v>220</v>
      </c>
      <c r="D215" s="149" t="s">
        <v>96</v>
      </c>
      <c r="E215" s="149" t="s">
        <v>12</v>
      </c>
      <c r="F215" s="66">
        <f>1465823.17/1000</f>
        <v>1465.8231699999999</v>
      </c>
      <c r="G215" s="66">
        <f>1465823.17/1000</f>
        <v>1465.8231699999999</v>
      </c>
      <c r="H215" s="66">
        <v>0</v>
      </c>
      <c r="I215" s="66">
        <v>0</v>
      </c>
      <c r="J215" s="66">
        <v>0</v>
      </c>
      <c r="K215" s="96" t="s">
        <v>69</v>
      </c>
    </row>
    <row r="216" spans="1:11" s="7" customFormat="1" ht="53.4" customHeight="1" x14ac:dyDescent="0.3">
      <c r="A216" s="95">
        <v>118</v>
      </c>
      <c r="B216" s="196"/>
      <c r="C216" s="96" t="s">
        <v>221</v>
      </c>
      <c r="D216" s="149" t="s">
        <v>222</v>
      </c>
      <c r="E216" s="149" t="s">
        <v>12</v>
      </c>
      <c r="F216" s="66">
        <f>72824.15/1000</f>
        <v>72.824149999999989</v>
      </c>
      <c r="G216" s="66">
        <f>72824.15/1000</f>
        <v>72.824149999999989</v>
      </c>
      <c r="H216" s="66">
        <v>0</v>
      </c>
      <c r="I216" s="66">
        <v>0</v>
      </c>
      <c r="J216" s="66">
        <v>0</v>
      </c>
      <c r="K216" s="96" t="s">
        <v>72</v>
      </c>
    </row>
    <row r="217" spans="1:11" s="7" customFormat="1" ht="26.4" x14ac:dyDescent="0.3">
      <c r="A217" s="95">
        <v>119</v>
      </c>
      <c r="B217" s="196"/>
      <c r="C217" s="96" t="s">
        <v>223</v>
      </c>
      <c r="D217" s="149" t="s">
        <v>49</v>
      </c>
      <c r="E217" s="149" t="s">
        <v>12</v>
      </c>
      <c r="F217" s="66">
        <v>924.48</v>
      </c>
      <c r="G217" s="66">
        <v>924.48</v>
      </c>
      <c r="H217" s="66">
        <v>0</v>
      </c>
      <c r="I217" s="66">
        <v>0</v>
      </c>
      <c r="J217" s="66">
        <v>0</v>
      </c>
      <c r="K217" s="96" t="s">
        <v>72</v>
      </c>
    </row>
    <row r="218" spans="1:11" s="7" customFormat="1" ht="39.6" x14ac:dyDescent="0.3">
      <c r="A218" s="95">
        <v>120</v>
      </c>
      <c r="B218" s="196"/>
      <c r="C218" s="96" t="s">
        <v>224</v>
      </c>
      <c r="D218" s="149" t="s">
        <v>225</v>
      </c>
      <c r="E218" s="149" t="s">
        <v>12</v>
      </c>
      <c r="F218" s="66">
        <v>2265</v>
      </c>
      <c r="G218" s="66">
        <v>2265</v>
      </c>
      <c r="H218" s="66">
        <v>0</v>
      </c>
      <c r="I218" s="66">
        <v>0</v>
      </c>
      <c r="J218" s="66">
        <v>0</v>
      </c>
      <c r="K218" s="96" t="s">
        <v>72</v>
      </c>
    </row>
    <row r="219" spans="1:11" s="7" customFormat="1" ht="38.4" customHeight="1" x14ac:dyDescent="0.3">
      <c r="A219" s="95">
        <v>121</v>
      </c>
      <c r="B219" s="196"/>
      <c r="C219" s="96" t="s">
        <v>226</v>
      </c>
      <c r="D219" s="149" t="s">
        <v>54</v>
      </c>
      <c r="E219" s="149" t="s">
        <v>12</v>
      </c>
      <c r="F219" s="66">
        <v>14049.8</v>
      </c>
      <c r="G219" s="66">
        <v>14049.8</v>
      </c>
      <c r="H219" s="66">
        <v>0</v>
      </c>
      <c r="I219" s="66">
        <v>0</v>
      </c>
      <c r="J219" s="66">
        <v>0</v>
      </c>
      <c r="K219" s="96" t="s">
        <v>72</v>
      </c>
    </row>
    <row r="220" spans="1:11" s="7" customFormat="1" ht="78" customHeight="1" x14ac:dyDescent="0.3">
      <c r="A220" s="95">
        <v>122</v>
      </c>
      <c r="B220" s="196"/>
      <c r="C220" s="96" t="s">
        <v>227</v>
      </c>
      <c r="D220" s="149" t="s">
        <v>96</v>
      </c>
      <c r="E220" s="149" t="s">
        <v>12</v>
      </c>
      <c r="F220" s="66">
        <v>1000</v>
      </c>
      <c r="G220" s="66">
        <v>1000</v>
      </c>
      <c r="H220" s="66">
        <v>0</v>
      </c>
      <c r="I220" s="66">
        <v>0</v>
      </c>
      <c r="J220" s="66">
        <v>0</v>
      </c>
      <c r="K220" s="96" t="s">
        <v>72</v>
      </c>
    </row>
    <row r="221" spans="1:11" s="7" customFormat="1" ht="36.6" customHeight="1" x14ac:dyDescent="0.3">
      <c r="A221" s="95">
        <v>123</v>
      </c>
      <c r="B221" s="196"/>
      <c r="C221" s="96" t="s">
        <v>228</v>
      </c>
      <c r="D221" s="149" t="s">
        <v>229</v>
      </c>
      <c r="E221" s="149" t="s">
        <v>12</v>
      </c>
      <c r="F221" s="66">
        <v>5500</v>
      </c>
      <c r="G221" s="66">
        <v>5500</v>
      </c>
      <c r="H221" s="66">
        <v>0</v>
      </c>
      <c r="I221" s="66">
        <v>0</v>
      </c>
      <c r="J221" s="66">
        <v>0</v>
      </c>
      <c r="K221" s="96" t="s">
        <v>72</v>
      </c>
    </row>
    <row r="222" spans="1:11" s="7" customFormat="1" ht="36.6" customHeight="1" x14ac:dyDescent="0.3">
      <c r="A222" s="95">
        <v>124</v>
      </c>
      <c r="B222" s="196"/>
      <c r="C222" s="96" t="s">
        <v>230</v>
      </c>
      <c r="D222" s="149" t="s">
        <v>75</v>
      </c>
      <c r="E222" s="149" t="s">
        <v>12</v>
      </c>
      <c r="F222" s="66">
        <v>14821</v>
      </c>
      <c r="G222" s="66">
        <v>14821</v>
      </c>
      <c r="H222" s="66">
        <v>0</v>
      </c>
      <c r="I222" s="66">
        <v>0</v>
      </c>
      <c r="J222" s="66">
        <v>0</v>
      </c>
      <c r="K222" s="96" t="s">
        <v>69</v>
      </c>
    </row>
    <row r="223" spans="1:11" s="9" customFormat="1" ht="14.4" customHeight="1" x14ac:dyDescent="0.3">
      <c r="A223" s="194" t="s">
        <v>57</v>
      </c>
      <c r="B223" s="194"/>
      <c r="C223" s="194"/>
      <c r="D223" s="194"/>
      <c r="E223" s="100"/>
      <c r="F223" s="101"/>
      <c r="G223" s="67">
        <f>SUM(G215:G222)</f>
        <v>40098.927320000003</v>
      </c>
      <c r="H223" s="67"/>
      <c r="I223" s="67"/>
      <c r="J223" s="101"/>
      <c r="K223" s="100"/>
    </row>
    <row r="224" spans="1:11" s="9" customFormat="1" ht="16.95" customHeight="1" x14ac:dyDescent="0.3">
      <c r="A224" s="194" t="s">
        <v>62</v>
      </c>
      <c r="B224" s="195"/>
      <c r="C224" s="195"/>
      <c r="D224" s="195"/>
      <c r="E224" s="100"/>
      <c r="F224" s="101"/>
      <c r="G224" s="67"/>
      <c r="H224" s="67">
        <f>SUM(H215:H222)</f>
        <v>0</v>
      </c>
      <c r="I224" s="67"/>
      <c r="J224" s="101"/>
      <c r="K224" s="100"/>
    </row>
    <row r="225" spans="1:11" s="9" customFormat="1" ht="12" customHeight="1" x14ac:dyDescent="0.3">
      <c r="A225" s="194" t="s">
        <v>19</v>
      </c>
      <c r="B225" s="195"/>
      <c r="C225" s="195"/>
      <c r="D225" s="195"/>
      <c r="E225" s="100"/>
      <c r="F225" s="101"/>
      <c r="G225" s="67"/>
      <c r="H225" s="67"/>
      <c r="I225" s="67">
        <f>SUM(I215:I222)</f>
        <v>0</v>
      </c>
      <c r="J225" s="101"/>
      <c r="K225" s="100"/>
    </row>
    <row r="226" spans="1:11" s="7" customFormat="1" ht="54" customHeight="1" x14ac:dyDescent="0.3">
      <c r="A226" s="95">
        <v>125</v>
      </c>
      <c r="B226" s="196" t="s">
        <v>231</v>
      </c>
      <c r="C226" s="96" t="s">
        <v>232</v>
      </c>
      <c r="D226" s="149" t="s">
        <v>233</v>
      </c>
      <c r="E226" s="149" t="s">
        <v>12</v>
      </c>
      <c r="F226" s="66">
        <f>631220.45/1000</f>
        <v>631.22044999999991</v>
      </c>
      <c r="G226" s="66">
        <f>631220.45/1000</f>
        <v>631.22044999999991</v>
      </c>
      <c r="H226" s="66">
        <v>0</v>
      </c>
      <c r="I226" s="66">
        <v>0</v>
      </c>
      <c r="J226" s="66">
        <v>0</v>
      </c>
      <c r="K226" s="96" t="s">
        <v>72</v>
      </c>
    </row>
    <row r="227" spans="1:11" s="7" customFormat="1" ht="37.200000000000003" customHeight="1" x14ac:dyDescent="0.3">
      <c r="A227" s="95">
        <v>126</v>
      </c>
      <c r="B227" s="196"/>
      <c r="C227" s="96" t="s">
        <v>234</v>
      </c>
      <c r="D227" s="149" t="s">
        <v>235</v>
      </c>
      <c r="E227" s="149" t="s">
        <v>12</v>
      </c>
      <c r="F227" s="66">
        <v>1960</v>
      </c>
      <c r="G227" s="66">
        <v>1960</v>
      </c>
      <c r="H227" s="66">
        <v>0</v>
      </c>
      <c r="I227" s="66">
        <v>0</v>
      </c>
      <c r="J227" s="66">
        <v>0</v>
      </c>
      <c r="K227" s="96" t="s">
        <v>72</v>
      </c>
    </row>
    <row r="228" spans="1:11" s="7" customFormat="1" ht="78.599999999999994" customHeight="1" x14ac:dyDescent="0.3">
      <c r="A228" s="95">
        <v>127</v>
      </c>
      <c r="B228" s="196"/>
      <c r="C228" s="96" t="s">
        <v>236</v>
      </c>
      <c r="D228" s="149" t="s">
        <v>96</v>
      </c>
      <c r="E228" s="149" t="s">
        <v>12</v>
      </c>
      <c r="F228" s="66">
        <v>599.36400000000003</v>
      </c>
      <c r="G228" s="66">
        <v>599.36400000000003</v>
      </c>
      <c r="H228" s="66">
        <v>0</v>
      </c>
      <c r="I228" s="66">
        <v>0</v>
      </c>
      <c r="J228" s="66">
        <v>0</v>
      </c>
      <c r="K228" s="96" t="s">
        <v>72</v>
      </c>
    </row>
    <row r="229" spans="1:11" s="7" customFormat="1" ht="48" customHeight="1" x14ac:dyDescent="0.3">
      <c r="A229" s="95">
        <v>128</v>
      </c>
      <c r="B229" s="196"/>
      <c r="C229" s="96" t="s">
        <v>237</v>
      </c>
      <c r="D229" s="149" t="s">
        <v>225</v>
      </c>
      <c r="E229" s="149" t="s">
        <v>12</v>
      </c>
      <c r="F229" s="66">
        <f>1078170/1000</f>
        <v>1078.17</v>
      </c>
      <c r="G229" s="66">
        <f>1078170/1000</f>
        <v>1078.17</v>
      </c>
      <c r="H229" s="66">
        <v>0</v>
      </c>
      <c r="I229" s="66">
        <v>0</v>
      </c>
      <c r="J229" s="66">
        <v>0</v>
      </c>
      <c r="K229" s="96" t="s">
        <v>69</v>
      </c>
    </row>
    <row r="230" spans="1:11" s="8" customFormat="1" ht="13.2" x14ac:dyDescent="0.3">
      <c r="A230" s="194" t="s">
        <v>57</v>
      </c>
      <c r="B230" s="194"/>
      <c r="C230" s="194"/>
      <c r="D230" s="194"/>
      <c r="E230" s="97"/>
      <c r="F230" s="67"/>
      <c r="G230" s="67">
        <f>SUM(G226:G229)</f>
        <v>4268.7544500000004</v>
      </c>
      <c r="H230" s="67"/>
      <c r="I230" s="67"/>
      <c r="J230" s="67"/>
      <c r="K230" s="97"/>
    </row>
    <row r="231" spans="1:11" s="8" customFormat="1" ht="15" customHeight="1" x14ac:dyDescent="0.3">
      <c r="A231" s="194" t="s">
        <v>62</v>
      </c>
      <c r="B231" s="195"/>
      <c r="C231" s="195"/>
      <c r="D231" s="195"/>
      <c r="E231" s="97"/>
      <c r="F231" s="67"/>
      <c r="G231" s="67"/>
      <c r="H231" s="67">
        <f>SUM(H226:H229)</f>
        <v>0</v>
      </c>
      <c r="I231" s="67"/>
      <c r="J231" s="67"/>
      <c r="K231" s="97"/>
    </row>
    <row r="232" spans="1:11" s="8" customFormat="1" ht="13.95" customHeight="1" x14ac:dyDescent="0.3">
      <c r="A232" s="194" t="s">
        <v>19</v>
      </c>
      <c r="B232" s="195"/>
      <c r="C232" s="195"/>
      <c r="D232" s="195"/>
      <c r="E232" s="97"/>
      <c r="F232" s="67"/>
      <c r="G232" s="67"/>
      <c r="H232" s="67"/>
      <c r="I232" s="67">
        <f>SUM(I226:I229)</f>
        <v>0</v>
      </c>
      <c r="J232" s="67"/>
      <c r="K232" s="97"/>
    </row>
    <row r="233" spans="1:11" s="7" customFormat="1" ht="47.4" customHeight="1" x14ac:dyDescent="0.3">
      <c r="A233" s="95">
        <v>129</v>
      </c>
      <c r="B233" s="149" t="s">
        <v>238</v>
      </c>
      <c r="C233" s="96" t="s">
        <v>239</v>
      </c>
      <c r="D233" s="149" t="s">
        <v>75</v>
      </c>
      <c r="E233" s="149" t="s">
        <v>12</v>
      </c>
      <c r="F233" s="66">
        <v>5308</v>
      </c>
      <c r="G233" s="66">
        <v>5308</v>
      </c>
      <c r="H233" s="66">
        <v>0</v>
      </c>
      <c r="I233" s="66">
        <v>0</v>
      </c>
      <c r="J233" s="66">
        <v>0</v>
      </c>
      <c r="K233" s="96" t="s">
        <v>125</v>
      </c>
    </row>
    <row r="234" spans="1:11" s="8" customFormat="1" ht="13.2" x14ac:dyDescent="0.3">
      <c r="A234" s="194" t="s">
        <v>57</v>
      </c>
      <c r="B234" s="194"/>
      <c r="C234" s="194"/>
      <c r="D234" s="194"/>
      <c r="E234" s="97"/>
      <c r="F234" s="67"/>
      <c r="G234" s="67">
        <f>SUM(G233:G233)</f>
        <v>5308</v>
      </c>
      <c r="H234" s="67"/>
      <c r="I234" s="67"/>
      <c r="J234" s="67"/>
      <c r="K234" s="97"/>
    </row>
    <row r="235" spans="1:11" s="8" customFormat="1" ht="15" customHeight="1" x14ac:dyDescent="0.3">
      <c r="A235" s="194" t="s">
        <v>62</v>
      </c>
      <c r="B235" s="195"/>
      <c r="C235" s="195"/>
      <c r="D235" s="195"/>
      <c r="E235" s="97"/>
      <c r="F235" s="67"/>
      <c r="G235" s="67"/>
      <c r="H235" s="67">
        <f>SUM(H233:H233)</f>
        <v>0</v>
      </c>
      <c r="I235" s="67"/>
      <c r="J235" s="67"/>
      <c r="K235" s="97"/>
    </row>
    <row r="236" spans="1:11" s="8" customFormat="1" ht="10.95" customHeight="1" x14ac:dyDescent="0.3">
      <c r="A236" s="194" t="s">
        <v>19</v>
      </c>
      <c r="B236" s="195"/>
      <c r="C236" s="195"/>
      <c r="D236" s="195"/>
      <c r="E236" s="97"/>
      <c r="F236" s="67"/>
      <c r="G236" s="67"/>
      <c r="H236" s="67"/>
      <c r="I236" s="67">
        <f>SUM(I233:I233)</f>
        <v>0</v>
      </c>
      <c r="J236" s="67"/>
      <c r="K236" s="97"/>
    </row>
    <row r="237" spans="1:11" s="7" customFormat="1" ht="37.200000000000003" customHeight="1" x14ac:dyDescent="0.3">
      <c r="A237" s="95">
        <v>130</v>
      </c>
      <c r="B237" s="196" t="s">
        <v>240</v>
      </c>
      <c r="C237" s="96" t="s">
        <v>241</v>
      </c>
      <c r="D237" s="149" t="s">
        <v>75</v>
      </c>
      <c r="E237" s="149" t="s">
        <v>12</v>
      </c>
      <c r="F237" s="66">
        <v>2130</v>
      </c>
      <c r="G237" s="66">
        <v>2130</v>
      </c>
      <c r="H237" s="66">
        <v>0</v>
      </c>
      <c r="I237" s="66">
        <v>0</v>
      </c>
      <c r="J237" s="66">
        <v>0</v>
      </c>
      <c r="K237" s="96" t="s">
        <v>72</v>
      </c>
    </row>
    <row r="238" spans="1:11" s="7" customFormat="1" ht="36.6" customHeight="1" x14ac:dyDescent="0.3">
      <c r="A238" s="95">
        <v>131</v>
      </c>
      <c r="B238" s="196"/>
      <c r="C238" s="96" t="s">
        <v>242</v>
      </c>
      <c r="D238" s="149" t="s">
        <v>243</v>
      </c>
      <c r="E238" s="149" t="s">
        <v>12</v>
      </c>
      <c r="F238" s="66">
        <v>100</v>
      </c>
      <c r="G238" s="66">
        <v>100</v>
      </c>
      <c r="H238" s="66">
        <v>0</v>
      </c>
      <c r="I238" s="66">
        <v>0</v>
      </c>
      <c r="J238" s="66">
        <v>0</v>
      </c>
      <c r="K238" s="96" t="s">
        <v>72</v>
      </c>
    </row>
    <row r="239" spans="1:11" s="7" customFormat="1" ht="44.4" customHeight="1" x14ac:dyDescent="0.3">
      <c r="A239" s="95">
        <v>132</v>
      </c>
      <c r="B239" s="196"/>
      <c r="C239" s="96" t="s">
        <v>244</v>
      </c>
      <c r="D239" s="149" t="s">
        <v>245</v>
      </c>
      <c r="E239" s="149" t="s">
        <v>12</v>
      </c>
      <c r="F239" s="66">
        <v>101.16501</v>
      </c>
      <c r="G239" s="66">
        <v>101.16501</v>
      </c>
      <c r="H239" s="66">
        <v>0</v>
      </c>
      <c r="I239" s="66">
        <v>0</v>
      </c>
      <c r="J239" s="66">
        <v>0</v>
      </c>
      <c r="K239" s="96" t="s">
        <v>72</v>
      </c>
    </row>
    <row r="240" spans="1:11" s="7" customFormat="1" ht="79.2" customHeight="1" x14ac:dyDescent="0.3">
      <c r="A240" s="95">
        <v>133</v>
      </c>
      <c r="B240" s="196"/>
      <c r="C240" s="96" t="s">
        <v>246</v>
      </c>
      <c r="D240" s="149" t="s">
        <v>247</v>
      </c>
      <c r="E240" s="149" t="s">
        <v>12</v>
      </c>
      <c r="F240" s="66">
        <f>1319539.2/1000</f>
        <v>1319.5391999999999</v>
      </c>
      <c r="G240" s="66">
        <f>1319539.2/1000</f>
        <v>1319.5391999999999</v>
      </c>
      <c r="H240" s="66">
        <v>0</v>
      </c>
      <c r="I240" s="66">
        <v>0</v>
      </c>
      <c r="J240" s="66">
        <v>0</v>
      </c>
      <c r="K240" s="96" t="s">
        <v>72</v>
      </c>
    </row>
    <row r="241" spans="1:11" s="8" customFormat="1" ht="13.2" x14ac:dyDescent="0.3">
      <c r="A241" s="194" t="s">
        <v>57</v>
      </c>
      <c r="B241" s="194"/>
      <c r="C241" s="194"/>
      <c r="D241" s="194"/>
      <c r="E241" s="97"/>
      <c r="F241" s="67"/>
      <c r="G241" s="67">
        <f>SUM(G237:G240)</f>
        <v>3650.7042099999999</v>
      </c>
      <c r="H241" s="67"/>
      <c r="I241" s="67"/>
      <c r="J241" s="67"/>
      <c r="K241" s="97"/>
    </row>
    <row r="242" spans="1:11" s="8" customFormat="1" ht="15" customHeight="1" x14ac:dyDescent="0.3">
      <c r="A242" s="194" t="s">
        <v>62</v>
      </c>
      <c r="B242" s="195"/>
      <c r="C242" s="195"/>
      <c r="D242" s="195"/>
      <c r="E242" s="97"/>
      <c r="F242" s="67"/>
      <c r="G242" s="67"/>
      <c r="H242" s="67">
        <f>SUM(H237:H240)</f>
        <v>0</v>
      </c>
      <c r="I242" s="67"/>
      <c r="J242" s="67"/>
      <c r="K242" s="97"/>
    </row>
    <row r="243" spans="1:11" s="8" customFormat="1" ht="15" customHeight="1" x14ac:dyDescent="0.3">
      <c r="A243" s="194" t="s">
        <v>19</v>
      </c>
      <c r="B243" s="195"/>
      <c r="C243" s="195"/>
      <c r="D243" s="195"/>
      <c r="E243" s="97"/>
      <c r="F243" s="67"/>
      <c r="G243" s="67"/>
      <c r="H243" s="67"/>
      <c r="I243" s="67">
        <f>SUM(I237:I240)</f>
        <v>0</v>
      </c>
      <c r="J243" s="67"/>
      <c r="K243" s="97"/>
    </row>
    <row r="244" spans="1:11" s="7" customFormat="1" ht="99.6" customHeight="1" x14ac:dyDescent="0.3">
      <c r="A244" s="95">
        <v>134</v>
      </c>
      <c r="B244" s="196" t="s">
        <v>248</v>
      </c>
      <c r="C244" s="96" t="s">
        <v>249</v>
      </c>
      <c r="D244" s="149" t="s">
        <v>250</v>
      </c>
      <c r="E244" s="149" t="s">
        <v>12</v>
      </c>
      <c r="F244" s="66">
        <v>225</v>
      </c>
      <c r="G244" s="66">
        <v>225</v>
      </c>
      <c r="H244" s="66">
        <v>0</v>
      </c>
      <c r="I244" s="66">
        <v>0</v>
      </c>
      <c r="J244" s="66">
        <v>0</v>
      </c>
      <c r="K244" s="96" t="s">
        <v>72</v>
      </c>
    </row>
    <row r="245" spans="1:11" s="7" customFormat="1" ht="54" customHeight="1" x14ac:dyDescent="0.3">
      <c r="A245" s="95">
        <v>135</v>
      </c>
      <c r="B245" s="196"/>
      <c r="C245" s="96" t="s">
        <v>251</v>
      </c>
      <c r="D245" s="149" t="s">
        <v>75</v>
      </c>
      <c r="E245" s="149" t="s">
        <v>12</v>
      </c>
      <c r="F245" s="66">
        <v>3000</v>
      </c>
      <c r="G245" s="66">
        <v>3000</v>
      </c>
      <c r="H245" s="66">
        <v>0</v>
      </c>
      <c r="I245" s="66">
        <v>0</v>
      </c>
      <c r="J245" s="66">
        <v>0</v>
      </c>
      <c r="K245" s="96" t="s">
        <v>72</v>
      </c>
    </row>
    <row r="246" spans="1:11" s="7" customFormat="1" ht="108" customHeight="1" x14ac:dyDescent="0.3">
      <c r="A246" s="95">
        <v>136</v>
      </c>
      <c r="B246" s="196"/>
      <c r="C246" s="96" t="s">
        <v>252</v>
      </c>
      <c r="D246" s="149" t="s">
        <v>101</v>
      </c>
      <c r="E246" s="149" t="s">
        <v>12</v>
      </c>
      <c r="F246" s="66">
        <v>59.5</v>
      </c>
      <c r="G246" s="66">
        <v>59.5</v>
      </c>
      <c r="H246" s="66">
        <v>0</v>
      </c>
      <c r="I246" s="66">
        <v>0</v>
      </c>
      <c r="J246" s="66">
        <v>0</v>
      </c>
      <c r="K246" s="96" t="s">
        <v>111</v>
      </c>
    </row>
    <row r="247" spans="1:11" s="7" customFormat="1" ht="171.6" x14ac:dyDescent="0.3">
      <c r="A247" s="95">
        <v>137</v>
      </c>
      <c r="B247" s="196"/>
      <c r="C247" s="96" t="s">
        <v>253</v>
      </c>
      <c r="D247" s="149" t="s">
        <v>168</v>
      </c>
      <c r="E247" s="149" t="s">
        <v>12</v>
      </c>
      <c r="F247" s="66">
        <v>30</v>
      </c>
      <c r="G247" s="66">
        <v>30</v>
      </c>
      <c r="H247" s="66">
        <v>0</v>
      </c>
      <c r="I247" s="66">
        <v>0</v>
      </c>
      <c r="J247" s="66">
        <v>0</v>
      </c>
      <c r="K247" s="96" t="s">
        <v>72</v>
      </c>
    </row>
    <row r="248" spans="1:11" s="7" customFormat="1" ht="40.799999999999997" customHeight="1" x14ac:dyDescent="0.3">
      <c r="A248" s="95">
        <v>138</v>
      </c>
      <c r="B248" s="196"/>
      <c r="C248" s="96" t="s">
        <v>254</v>
      </c>
      <c r="D248" s="149" t="s">
        <v>229</v>
      </c>
      <c r="E248" s="149" t="s">
        <v>12</v>
      </c>
      <c r="F248" s="66">
        <f>319832.6/1000</f>
        <v>319.83259999999996</v>
      </c>
      <c r="G248" s="66">
        <f>319832.6/1000</f>
        <v>319.83259999999996</v>
      </c>
      <c r="H248" s="66">
        <v>0</v>
      </c>
      <c r="I248" s="66">
        <v>0</v>
      </c>
      <c r="J248" s="66">
        <v>0</v>
      </c>
      <c r="K248" s="96" t="s">
        <v>72</v>
      </c>
    </row>
    <row r="249" spans="1:11" s="7" customFormat="1" ht="40.799999999999997" customHeight="1" x14ac:dyDescent="0.3">
      <c r="A249" s="95">
        <v>139</v>
      </c>
      <c r="B249" s="196"/>
      <c r="C249" s="96" t="s">
        <v>255</v>
      </c>
      <c r="D249" s="149" t="s">
        <v>75</v>
      </c>
      <c r="E249" s="149" t="s">
        <v>12</v>
      </c>
      <c r="F249" s="66">
        <f>624322.96/1000</f>
        <v>624.32295999999997</v>
      </c>
      <c r="G249" s="66">
        <f>624322.96/1000</f>
        <v>624.32295999999997</v>
      </c>
      <c r="H249" s="66">
        <v>0</v>
      </c>
      <c r="I249" s="66">
        <v>0</v>
      </c>
      <c r="J249" s="66">
        <v>0</v>
      </c>
      <c r="K249" s="96" t="s">
        <v>72</v>
      </c>
    </row>
    <row r="250" spans="1:11" s="10" customFormat="1" ht="13.2" x14ac:dyDescent="0.3">
      <c r="A250" s="194" t="s">
        <v>57</v>
      </c>
      <c r="B250" s="194"/>
      <c r="C250" s="194"/>
      <c r="D250" s="194"/>
      <c r="E250" s="102"/>
      <c r="F250" s="103"/>
      <c r="G250" s="67">
        <f>SUM(G244:G249)</f>
        <v>4258.6555599999992</v>
      </c>
      <c r="H250" s="67"/>
      <c r="I250" s="67"/>
      <c r="J250" s="103"/>
      <c r="K250" s="102"/>
    </row>
    <row r="251" spans="1:11" s="10" customFormat="1" ht="15" customHeight="1" x14ac:dyDescent="0.3">
      <c r="A251" s="194" t="s">
        <v>62</v>
      </c>
      <c r="B251" s="195"/>
      <c r="C251" s="195"/>
      <c r="D251" s="195"/>
      <c r="E251" s="102"/>
      <c r="F251" s="103"/>
      <c r="G251" s="67"/>
      <c r="H251" s="67">
        <f>SUM(H244:H249)</f>
        <v>0</v>
      </c>
      <c r="I251" s="67"/>
      <c r="J251" s="103"/>
      <c r="K251" s="102"/>
    </row>
    <row r="252" spans="1:11" s="10" customFormat="1" ht="12" customHeight="1" x14ac:dyDescent="0.3">
      <c r="A252" s="194" t="s">
        <v>19</v>
      </c>
      <c r="B252" s="195"/>
      <c r="C252" s="195"/>
      <c r="D252" s="195"/>
      <c r="E252" s="102"/>
      <c r="F252" s="103"/>
      <c r="G252" s="67"/>
      <c r="H252" s="67"/>
      <c r="I252" s="67">
        <f>SUM(I244:I249)</f>
        <v>0</v>
      </c>
      <c r="J252" s="103"/>
      <c r="K252" s="102"/>
    </row>
    <row r="253" spans="1:11" s="7" customFormat="1" ht="39.6" customHeight="1" x14ac:dyDescent="0.3">
      <c r="A253" s="95">
        <v>140</v>
      </c>
      <c r="B253" s="196" t="s">
        <v>256</v>
      </c>
      <c r="C253" s="96" t="s">
        <v>257</v>
      </c>
      <c r="D253" s="149" t="s">
        <v>104</v>
      </c>
      <c r="E253" s="149" t="s">
        <v>12</v>
      </c>
      <c r="F253" s="66">
        <v>468.67500000000001</v>
      </c>
      <c r="G253" s="66">
        <v>468.47500000000002</v>
      </c>
      <c r="H253" s="66">
        <v>0</v>
      </c>
      <c r="I253" s="66">
        <v>0</v>
      </c>
      <c r="J253" s="66">
        <v>0</v>
      </c>
      <c r="K253" s="96" t="s">
        <v>72</v>
      </c>
    </row>
    <row r="254" spans="1:11" s="7" customFormat="1" ht="39.6" customHeight="1" x14ac:dyDescent="0.3">
      <c r="A254" s="95">
        <v>141</v>
      </c>
      <c r="B254" s="196"/>
      <c r="C254" s="96" t="s">
        <v>258</v>
      </c>
      <c r="D254" s="149" t="s">
        <v>104</v>
      </c>
      <c r="E254" s="149" t="s">
        <v>12</v>
      </c>
      <c r="F254" s="66">
        <v>499.5</v>
      </c>
      <c r="G254" s="66">
        <v>499.5</v>
      </c>
      <c r="H254" s="66">
        <v>0</v>
      </c>
      <c r="I254" s="66">
        <v>0</v>
      </c>
      <c r="J254" s="66">
        <v>0</v>
      </c>
      <c r="K254" s="96" t="s">
        <v>72</v>
      </c>
    </row>
    <row r="255" spans="1:11" s="8" customFormat="1" ht="13.2" x14ac:dyDescent="0.3">
      <c r="A255" s="194" t="s">
        <v>57</v>
      </c>
      <c r="B255" s="194"/>
      <c r="C255" s="194"/>
      <c r="D255" s="194"/>
      <c r="E255" s="97"/>
      <c r="F255" s="67"/>
      <c r="G255" s="67">
        <f>SUM(G253:G254)</f>
        <v>967.97500000000002</v>
      </c>
      <c r="H255" s="67"/>
      <c r="I255" s="67"/>
      <c r="J255" s="67"/>
      <c r="K255" s="97"/>
    </row>
    <row r="256" spans="1:11" s="8" customFormat="1" ht="13.95" customHeight="1" x14ac:dyDescent="0.3">
      <c r="A256" s="194" t="s">
        <v>62</v>
      </c>
      <c r="B256" s="195"/>
      <c r="C256" s="195"/>
      <c r="D256" s="195"/>
      <c r="E256" s="97"/>
      <c r="F256" s="67"/>
      <c r="G256" s="67"/>
      <c r="H256" s="67">
        <f>SUM(H253:H254)</f>
        <v>0</v>
      </c>
      <c r="I256" s="67"/>
      <c r="J256" s="67"/>
      <c r="K256" s="97"/>
    </row>
    <row r="257" spans="1:11" s="8" customFormat="1" ht="16.95" customHeight="1" x14ac:dyDescent="0.3">
      <c r="A257" s="194" t="s">
        <v>19</v>
      </c>
      <c r="B257" s="195"/>
      <c r="C257" s="195"/>
      <c r="D257" s="195"/>
      <c r="E257" s="97"/>
      <c r="F257" s="67"/>
      <c r="G257" s="67"/>
      <c r="H257" s="67"/>
      <c r="I257" s="67">
        <f>SUM(I253:I254)</f>
        <v>0</v>
      </c>
      <c r="J257" s="67"/>
      <c r="K257" s="97"/>
    </row>
    <row r="258" spans="1:11" s="7" customFormat="1" ht="72" customHeight="1" x14ac:dyDescent="0.3">
      <c r="A258" s="95">
        <v>142</v>
      </c>
      <c r="B258" s="149" t="s">
        <v>259</v>
      </c>
      <c r="C258" s="96" t="s">
        <v>260</v>
      </c>
      <c r="D258" s="149" t="s">
        <v>93</v>
      </c>
      <c r="E258" s="149" t="s">
        <v>12</v>
      </c>
      <c r="F258" s="66">
        <f>1162895.27/1000</f>
        <v>1162.89527</v>
      </c>
      <c r="G258" s="66">
        <f>1162895.27/1000</f>
        <v>1162.89527</v>
      </c>
      <c r="H258" s="66">
        <v>0</v>
      </c>
      <c r="I258" s="66">
        <v>0</v>
      </c>
      <c r="J258" s="66">
        <v>0</v>
      </c>
      <c r="K258" s="96" t="s">
        <v>72</v>
      </c>
    </row>
    <row r="259" spans="1:11" s="8" customFormat="1" ht="13.2" x14ac:dyDescent="0.3">
      <c r="A259" s="194" t="s">
        <v>57</v>
      </c>
      <c r="B259" s="194"/>
      <c r="C259" s="194"/>
      <c r="D259" s="194"/>
      <c r="E259" s="97"/>
      <c r="F259" s="67"/>
      <c r="G259" s="67">
        <f>SUM(G258:G258)</f>
        <v>1162.89527</v>
      </c>
      <c r="H259" s="67"/>
      <c r="I259" s="67"/>
      <c r="J259" s="67"/>
      <c r="K259" s="97"/>
    </row>
    <row r="260" spans="1:11" s="8" customFormat="1" ht="16.2" customHeight="1" x14ac:dyDescent="0.3">
      <c r="A260" s="194" t="s">
        <v>62</v>
      </c>
      <c r="B260" s="195"/>
      <c r="C260" s="195"/>
      <c r="D260" s="195"/>
      <c r="E260" s="97"/>
      <c r="F260" s="67"/>
      <c r="G260" s="67"/>
      <c r="H260" s="67">
        <f>SUM(H258:H258)</f>
        <v>0</v>
      </c>
      <c r="I260" s="67"/>
      <c r="J260" s="67"/>
      <c r="K260" s="97"/>
    </row>
    <row r="261" spans="1:11" s="8" customFormat="1" ht="15" customHeight="1" x14ac:dyDescent="0.3">
      <c r="A261" s="194" t="s">
        <v>19</v>
      </c>
      <c r="B261" s="195"/>
      <c r="C261" s="195"/>
      <c r="D261" s="195"/>
      <c r="E261" s="97"/>
      <c r="F261" s="67"/>
      <c r="G261" s="67"/>
      <c r="H261" s="67"/>
      <c r="I261" s="67">
        <f>SUM(I258:I258)</f>
        <v>0</v>
      </c>
      <c r="J261" s="67"/>
      <c r="K261" s="97"/>
    </row>
    <row r="262" spans="1:11" s="7" customFormat="1" ht="64.2" customHeight="1" x14ac:dyDescent="0.3">
      <c r="A262" s="95">
        <v>143</v>
      </c>
      <c r="B262" s="196" t="s">
        <v>261</v>
      </c>
      <c r="C262" s="96" t="s">
        <v>262</v>
      </c>
      <c r="D262" s="149" t="s">
        <v>93</v>
      </c>
      <c r="E262" s="149" t="s">
        <v>12</v>
      </c>
      <c r="F262" s="66">
        <v>602.01035999999999</v>
      </c>
      <c r="G262" s="66">
        <v>602.01035999999999</v>
      </c>
      <c r="H262" s="66">
        <v>0</v>
      </c>
      <c r="I262" s="66">
        <v>0</v>
      </c>
      <c r="J262" s="66">
        <v>0</v>
      </c>
      <c r="K262" s="96" t="s">
        <v>72</v>
      </c>
    </row>
    <row r="263" spans="1:11" s="7" customFormat="1" ht="36.6" customHeight="1" x14ac:dyDescent="0.3">
      <c r="A263" s="95">
        <v>144</v>
      </c>
      <c r="B263" s="196"/>
      <c r="C263" s="96" t="s">
        <v>263</v>
      </c>
      <c r="D263" s="149" t="s">
        <v>264</v>
      </c>
      <c r="E263" s="149" t="s">
        <v>12</v>
      </c>
      <c r="F263" s="66">
        <v>2630.4</v>
      </c>
      <c r="G263" s="66">
        <v>2630.4</v>
      </c>
      <c r="H263" s="66">
        <v>0</v>
      </c>
      <c r="I263" s="66">
        <v>0</v>
      </c>
      <c r="J263" s="66">
        <v>0</v>
      </c>
      <c r="K263" s="96" t="s">
        <v>76</v>
      </c>
    </row>
    <row r="264" spans="1:11" s="8" customFormat="1" ht="13.2" x14ac:dyDescent="0.3">
      <c r="A264" s="194" t="s">
        <v>57</v>
      </c>
      <c r="B264" s="194"/>
      <c r="C264" s="194"/>
      <c r="D264" s="194"/>
      <c r="E264" s="97"/>
      <c r="F264" s="67"/>
      <c r="G264" s="67">
        <f>SUM(G262:G263)</f>
        <v>3232.4103599999999</v>
      </c>
      <c r="H264" s="67"/>
      <c r="I264" s="67"/>
      <c r="J264" s="67"/>
      <c r="K264" s="97"/>
    </row>
    <row r="265" spans="1:11" s="8" customFormat="1" ht="14.4" customHeight="1" x14ac:dyDescent="0.3">
      <c r="A265" s="194" t="s">
        <v>62</v>
      </c>
      <c r="B265" s="195"/>
      <c r="C265" s="195"/>
      <c r="D265" s="195"/>
      <c r="E265" s="97"/>
      <c r="F265" s="67"/>
      <c r="G265" s="67"/>
      <c r="H265" s="67">
        <f>SUM(H262:H263)</f>
        <v>0</v>
      </c>
      <c r="I265" s="67"/>
      <c r="J265" s="67"/>
      <c r="K265" s="97"/>
    </row>
    <row r="266" spans="1:11" s="8" customFormat="1" ht="15.6" customHeight="1" x14ac:dyDescent="0.3">
      <c r="A266" s="194" t="s">
        <v>19</v>
      </c>
      <c r="B266" s="195"/>
      <c r="C266" s="195"/>
      <c r="D266" s="195"/>
      <c r="E266" s="97"/>
      <c r="F266" s="67"/>
      <c r="G266" s="67"/>
      <c r="H266" s="67"/>
      <c r="I266" s="67">
        <f>SUM(I262:I263)</f>
        <v>0</v>
      </c>
      <c r="J266" s="67"/>
      <c r="K266" s="97"/>
    </row>
    <row r="267" spans="1:11" s="7" customFormat="1" ht="26.4" x14ac:dyDescent="0.3">
      <c r="A267" s="95">
        <v>145</v>
      </c>
      <c r="B267" s="196" t="s">
        <v>1138</v>
      </c>
      <c r="C267" s="96" t="s">
        <v>265</v>
      </c>
      <c r="D267" s="149" t="s">
        <v>91</v>
      </c>
      <c r="E267" s="149" t="s">
        <v>12</v>
      </c>
      <c r="F267" s="66">
        <v>79.084999999999994</v>
      </c>
      <c r="G267" s="66">
        <v>79.084999999999994</v>
      </c>
      <c r="H267" s="66">
        <v>0</v>
      </c>
      <c r="I267" s="66">
        <v>0</v>
      </c>
      <c r="J267" s="66">
        <v>0</v>
      </c>
      <c r="K267" s="96" t="s">
        <v>72</v>
      </c>
    </row>
    <row r="268" spans="1:11" s="7" customFormat="1" ht="40.200000000000003" customHeight="1" x14ac:dyDescent="0.3">
      <c r="A268" s="95">
        <v>146</v>
      </c>
      <c r="B268" s="196"/>
      <c r="C268" s="96" t="s">
        <v>266</v>
      </c>
      <c r="D268" s="149" t="s">
        <v>267</v>
      </c>
      <c r="E268" s="149" t="s">
        <v>12</v>
      </c>
      <c r="F268" s="66">
        <v>142.56</v>
      </c>
      <c r="G268" s="66">
        <v>142.56</v>
      </c>
      <c r="H268" s="66">
        <v>0</v>
      </c>
      <c r="I268" s="66">
        <v>0</v>
      </c>
      <c r="J268" s="66">
        <v>0</v>
      </c>
      <c r="K268" s="96" t="s">
        <v>72</v>
      </c>
    </row>
    <row r="269" spans="1:11" s="8" customFormat="1" ht="13.2" x14ac:dyDescent="0.3">
      <c r="A269" s="194" t="s">
        <v>57</v>
      </c>
      <c r="B269" s="194"/>
      <c r="C269" s="194"/>
      <c r="D269" s="194"/>
      <c r="E269" s="97"/>
      <c r="F269" s="67"/>
      <c r="G269" s="67">
        <f>SUM(G267:G268)</f>
        <v>221.64499999999998</v>
      </c>
      <c r="H269" s="67"/>
      <c r="I269" s="67"/>
      <c r="J269" s="67"/>
      <c r="K269" s="97"/>
    </row>
    <row r="270" spans="1:11" s="8" customFormat="1" ht="14.4" customHeight="1" x14ac:dyDescent="0.3">
      <c r="A270" s="194" t="s">
        <v>62</v>
      </c>
      <c r="B270" s="195"/>
      <c r="C270" s="195"/>
      <c r="D270" s="195"/>
      <c r="E270" s="97"/>
      <c r="F270" s="67"/>
      <c r="G270" s="67"/>
      <c r="H270" s="67">
        <f>SUM(H267:H268)</f>
        <v>0</v>
      </c>
      <c r="I270" s="67"/>
      <c r="J270" s="67"/>
      <c r="K270" s="97"/>
    </row>
    <row r="271" spans="1:11" s="8" customFormat="1" ht="12.6" customHeight="1" x14ac:dyDescent="0.3">
      <c r="A271" s="194" t="s">
        <v>19</v>
      </c>
      <c r="B271" s="195"/>
      <c r="C271" s="195"/>
      <c r="D271" s="195"/>
      <c r="E271" s="97"/>
      <c r="F271" s="67"/>
      <c r="G271" s="67"/>
      <c r="H271" s="67"/>
      <c r="I271" s="67">
        <f>SUM(I267:I268)</f>
        <v>0</v>
      </c>
      <c r="J271" s="67"/>
      <c r="K271" s="97"/>
    </row>
    <row r="272" spans="1:11" s="7" customFormat="1" ht="52.8" x14ac:dyDescent="0.3">
      <c r="A272" s="95">
        <v>147</v>
      </c>
      <c r="B272" s="196" t="s">
        <v>268</v>
      </c>
      <c r="C272" s="96" t="s">
        <v>269</v>
      </c>
      <c r="D272" s="149" t="s">
        <v>270</v>
      </c>
      <c r="E272" s="149" t="s">
        <v>271</v>
      </c>
      <c r="F272" s="66">
        <f>8395294.95/1000</f>
        <v>8395.2949499999995</v>
      </c>
      <c r="G272" s="66">
        <f>8395294.95/1000</f>
        <v>8395.2949499999995</v>
      </c>
      <c r="H272" s="66">
        <v>0</v>
      </c>
      <c r="I272" s="66">
        <v>0</v>
      </c>
      <c r="J272" s="66">
        <v>0</v>
      </c>
      <c r="K272" s="96" t="s">
        <v>69</v>
      </c>
    </row>
    <row r="273" spans="1:11" s="7" customFormat="1" ht="84" customHeight="1" x14ac:dyDescent="0.3">
      <c r="A273" s="95">
        <v>148</v>
      </c>
      <c r="B273" s="196"/>
      <c r="C273" s="96" t="s">
        <v>272</v>
      </c>
      <c r="D273" s="149" t="s">
        <v>273</v>
      </c>
      <c r="E273" s="149" t="s">
        <v>271</v>
      </c>
      <c r="F273" s="66">
        <f>97418850/1000</f>
        <v>97418.85</v>
      </c>
      <c r="G273" s="66">
        <f>97418850/1000</f>
        <v>97418.85</v>
      </c>
      <c r="H273" s="66">
        <v>0</v>
      </c>
      <c r="I273" s="66">
        <v>0</v>
      </c>
      <c r="J273" s="66">
        <v>0</v>
      </c>
      <c r="K273" s="96" t="s">
        <v>69</v>
      </c>
    </row>
    <row r="274" spans="1:11" s="7" customFormat="1" ht="106.2" customHeight="1" x14ac:dyDescent="0.3">
      <c r="A274" s="95">
        <v>149</v>
      </c>
      <c r="B274" s="196"/>
      <c r="C274" s="96" t="s">
        <v>274</v>
      </c>
      <c r="D274" s="149" t="s">
        <v>275</v>
      </c>
      <c r="E274" s="149" t="s">
        <v>12</v>
      </c>
      <c r="F274" s="66">
        <v>1405</v>
      </c>
      <c r="G274" s="66">
        <v>1405</v>
      </c>
      <c r="H274" s="66">
        <v>0</v>
      </c>
      <c r="I274" s="66">
        <v>0</v>
      </c>
      <c r="J274" s="66">
        <v>0</v>
      </c>
      <c r="K274" s="96" t="s">
        <v>69</v>
      </c>
    </row>
    <row r="275" spans="1:11" s="8" customFormat="1" ht="13.2" x14ac:dyDescent="0.3">
      <c r="A275" s="194" t="s">
        <v>57</v>
      </c>
      <c r="B275" s="194"/>
      <c r="C275" s="194"/>
      <c r="D275" s="194"/>
      <c r="E275" s="97"/>
      <c r="F275" s="67"/>
      <c r="G275" s="67">
        <f>SUM(G272:G274)</f>
        <v>107219.14495</v>
      </c>
      <c r="H275" s="67"/>
      <c r="I275" s="67"/>
      <c r="J275" s="67"/>
      <c r="K275" s="97"/>
    </row>
    <row r="276" spans="1:11" s="8" customFormat="1" ht="18" customHeight="1" x14ac:dyDescent="0.3">
      <c r="A276" s="194" t="s">
        <v>62</v>
      </c>
      <c r="B276" s="195"/>
      <c r="C276" s="195"/>
      <c r="D276" s="195"/>
      <c r="E276" s="97"/>
      <c r="F276" s="67"/>
      <c r="G276" s="67"/>
      <c r="H276" s="67">
        <f>SUM(H272:H274)</f>
        <v>0</v>
      </c>
      <c r="I276" s="67"/>
      <c r="J276" s="67"/>
      <c r="K276" s="97"/>
    </row>
    <row r="277" spans="1:11" s="8" customFormat="1" ht="10.95" customHeight="1" x14ac:dyDescent="0.3">
      <c r="A277" s="194" t="s">
        <v>19</v>
      </c>
      <c r="B277" s="195"/>
      <c r="C277" s="195"/>
      <c r="D277" s="195"/>
      <c r="E277" s="97"/>
      <c r="F277" s="67"/>
      <c r="G277" s="67"/>
      <c r="H277" s="67"/>
      <c r="I277" s="67">
        <f>SUM(I272:I274)</f>
        <v>0</v>
      </c>
      <c r="J277" s="67"/>
      <c r="K277" s="97"/>
    </row>
    <row r="278" spans="1:11" s="46" customFormat="1" ht="45.6" customHeight="1" x14ac:dyDescent="0.3">
      <c r="A278" s="104">
        <v>150</v>
      </c>
      <c r="B278" s="209" t="s">
        <v>1137</v>
      </c>
      <c r="C278" s="148" t="s">
        <v>276</v>
      </c>
      <c r="D278" s="148" t="s">
        <v>277</v>
      </c>
      <c r="E278" s="146" t="s">
        <v>12</v>
      </c>
      <c r="F278" s="105">
        <v>432.25</v>
      </c>
      <c r="G278" s="105">
        <v>0</v>
      </c>
      <c r="H278" s="105">
        <v>432.25</v>
      </c>
      <c r="I278" s="105">
        <v>0</v>
      </c>
      <c r="J278" s="105">
        <v>0</v>
      </c>
      <c r="K278" s="148" t="s">
        <v>72</v>
      </c>
    </row>
    <row r="279" spans="1:11" s="46" customFormat="1" ht="45.6" customHeight="1" x14ac:dyDescent="0.3">
      <c r="A279" s="104">
        <f>A278+1</f>
        <v>151</v>
      </c>
      <c r="B279" s="209"/>
      <c r="C279" s="148" t="s">
        <v>278</v>
      </c>
      <c r="D279" s="148" t="s">
        <v>279</v>
      </c>
      <c r="E279" s="146" t="s">
        <v>12</v>
      </c>
      <c r="F279" s="105">
        <v>614.57219999999995</v>
      </c>
      <c r="G279" s="105">
        <v>0</v>
      </c>
      <c r="H279" s="105">
        <v>614.57219999999995</v>
      </c>
      <c r="I279" s="105">
        <v>0</v>
      </c>
      <c r="J279" s="105">
        <v>0</v>
      </c>
      <c r="K279" s="148" t="s">
        <v>72</v>
      </c>
    </row>
    <row r="280" spans="1:11" s="46" customFormat="1" ht="56.25" customHeight="1" x14ac:dyDescent="0.3">
      <c r="A280" s="104">
        <f t="shared" ref="A280:A282" si="1">A279+1</f>
        <v>152</v>
      </c>
      <c r="B280" s="209"/>
      <c r="C280" s="148" t="s">
        <v>280</v>
      </c>
      <c r="D280" s="148" t="s">
        <v>93</v>
      </c>
      <c r="E280" s="146" t="s">
        <v>12</v>
      </c>
      <c r="F280" s="105">
        <v>252.02799999999999</v>
      </c>
      <c r="G280" s="105">
        <v>252.02799999999999</v>
      </c>
      <c r="H280" s="105">
        <v>0</v>
      </c>
      <c r="I280" s="105">
        <v>0</v>
      </c>
      <c r="J280" s="105">
        <v>0</v>
      </c>
      <c r="K280" s="148" t="s">
        <v>72</v>
      </c>
    </row>
    <row r="281" spans="1:11" s="46" customFormat="1" ht="37.200000000000003" customHeight="1" x14ac:dyDescent="0.3">
      <c r="A281" s="104">
        <f t="shared" si="1"/>
        <v>153</v>
      </c>
      <c r="B281" s="209"/>
      <c r="C281" s="148" t="s">
        <v>281</v>
      </c>
      <c r="D281" s="148" t="s">
        <v>277</v>
      </c>
      <c r="E281" s="146" t="s">
        <v>12</v>
      </c>
      <c r="F281" s="105">
        <v>434</v>
      </c>
      <c r="G281" s="105">
        <v>0</v>
      </c>
      <c r="H281" s="105">
        <v>0</v>
      </c>
      <c r="I281" s="105">
        <v>434</v>
      </c>
      <c r="J281" s="105">
        <v>0</v>
      </c>
      <c r="K281" s="148" t="s">
        <v>282</v>
      </c>
    </row>
    <row r="282" spans="1:11" s="46" customFormat="1" ht="26.4" x14ac:dyDescent="0.3">
      <c r="A282" s="104">
        <f t="shared" si="1"/>
        <v>154</v>
      </c>
      <c r="B282" s="209"/>
      <c r="C282" s="148" t="s">
        <v>283</v>
      </c>
      <c r="D282" s="148" t="s">
        <v>279</v>
      </c>
      <c r="E282" s="146" t="s">
        <v>12</v>
      </c>
      <c r="F282" s="105">
        <v>617.04359999999997</v>
      </c>
      <c r="G282" s="105">
        <v>0</v>
      </c>
      <c r="H282" s="105">
        <v>0</v>
      </c>
      <c r="I282" s="105">
        <v>617.04359999999997</v>
      </c>
      <c r="J282" s="105">
        <v>0</v>
      </c>
      <c r="K282" s="148" t="s">
        <v>282</v>
      </c>
    </row>
    <row r="283" spans="1:11" s="47" customFormat="1" ht="13.2" x14ac:dyDescent="0.3">
      <c r="A283" s="213" t="s">
        <v>57</v>
      </c>
      <c r="B283" s="213"/>
      <c r="C283" s="213"/>
      <c r="D283" s="213"/>
      <c r="E283" s="147"/>
      <c r="F283" s="106"/>
      <c r="G283" s="107">
        <f>SUM(G278:G282)</f>
        <v>252.02799999999999</v>
      </c>
      <c r="H283" s="107"/>
      <c r="I283" s="107"/>
      <c r="J283" s="107"/>
      <c r="K283" s="147"/>
    </row>
    <row r="284" spans="1:11" s="47" customFormat="1" ht="13.95" customHeight="1" x14ac:dyDescent="0.3">
      <c r="A284" s="214" t="s">
        <v>62</v>
      </c>
      <c r="B284" s="215"/>
      <c r="C284" s="215"/>
      <c r="D284" s="215"/>
      <c r="E284" s="147"/>
      <c r="F284" s="106"/>
      <c r="G284" s="106"/>
      <c r="H284" s="107">
        <f>SUM(H278:H282)</f>
        <v>1046.8222000000001</v>
      </c>
      <c r="I284" s="107"/>
      <c r="J284" s="107"/>
      <c r="K284" s="147"/>
    </row>
    <row r="285" spans="1:11" s="47" customFormat="1" ht="15.6" customHeight="1" x14ac:dyDescent="0.3">
      <c r="A285" s="214" t="s">
        <v>19</v>
      </c>
      <c r="B285" s="215"/>
      <c r="C285" s="215"/>
      <c r="D285" s="215"/>
      <c r="E285" s="147"/>
      <c r="F285" s="106"/>
      <c r="G285" s="106"/>
      <c r="H285" s="107"/>
      <c r="I285" s="107">
        <f>SUM(I278:I282)</f>
        <v>1051.0436</v>
      </c>
      <c r="J285" s="107"/>
      <c r="K285" s="147"/>
    </row>
    <row r="286" spans="1:11" s="46" customFormat="1" ht="38.4" customHeight="1" x14ac:dyDescent="0.3">
      <c r="A286" s="104">
        <v>155</v>
      </c>
      <c r="B286" s="209" t="s">
        <v>284</v>
      </c>
      <c r="C286" s="148" t="s">
        <v>285</v>
      </c>
      <c r="D286" s="148" t="s">
        <v>286</v>
      </c>
      <c r="E286" s="146" t="s">
        <v>12</v>
      </c>
      <c r="F286" s="105">
        <v>1968.56681</v>
      </c>
      <c r="G286" s="105">
        <v>1968.56681</v>
      </c>
      <c r="H286" s="105">
        <v>0</v>
      </c>
      <c r="I286" s="105">
        <v>0</v>
      </c>
      <c r="J286" s="105">
        <v>0</v>
      </c>
      <c r="K286" s="148" t="s">
        <v>72</v>
      </c>
    </row>
    <row r="287" spans="1:11" s="46" customFormat="1" ht="33" customHeight="1" x14ac:dyDescent="0.3">
      <c r="A287" s="104">
        <f>A286+1</f>
        <v>156</v>
      </c>
      <c r="B287" s="209"/>
      <c r="C287" s="148" t="s">
        <v>287</v>
      </c>
      <c r="D287" s="148" t="s">
        <v>288</v>
      </c>
      <c r="E287" s="146" t="s">
        <v>12</v>
      </c>
      <c r="F287" s="105">
        <v>550</v>
      </c>
      <c r="G287" s="105">
        <v>550</v>
      </c>
      <c r="H287" s="105">
        <v>0</v>
      </c>
      <c r="I287" s="105">
        <v>0</v>
      </c>
      <c r="J287" s="105">
        <v>0</v>
      </c>
      <c r="K287" s="148" t="s">
        <v>72</v>
      </c>
    </row>
    <row r="288" spans="1:11" s="46" customFormat="1" ht="33" customHeight="1" x14ac:dyDescent="0.3">
      <c r="A288" s="104">
        <f t="shared" ref="A288:A309" si="2">A287+1</f>
        <v>157</v>
      </c>
      <c r="B288" s="209"/>
      <c r="C288" s="148" t="s">
        <v>289</v>
      </c>
      <c r="D288" s="148" t="s">
        <v>290</v>
      </c>
      <c r="E288" s="146" t="s">
        <v>12</v>
      </c>
      <c r="F288" s="105">
        <v>8195.9120000000003</v>
      </c>
      <c r="G288" s="105">
        <v>8195.9120000000003</v>
      </c>
      <c r="H288" s="105">
        <v>0</v>
      </c>
      <c r="I288" s="105">
        <v>0</v>
      </c>
      <c r="J288" s="105">
        <v>0</v>
      </c>
      <c r="K288" s="148" t="s">
        <v>72</v>
      </c>
    </row>
    <row r="289" spans="1:11" s="46" customFormat="1" ht="33" customHeight="1" x14ac:dyDescent="0.3">
      <c r="A289" s="104">
        <f t="shared" si="2"/>
        <v>158</v>
      </c>
      <c r="B289" s="209"/>
      <c r="C289" s="148" t="s">
        <v>291</v>
      </c>
      <c r="D289" s="148" t="s">
        <v>292</v>
      </c>
      <c r="E289" s="146" t="s">
        <v>12</v>
      </c>
      <c r="F289" s="105">
        <v>2706.3359999999998</v>
      </c>
      <c r="G289" s="105">
        <v>2706.3359999999998</v>
      </c>
      <c r="H289" s="105">
        <v>0</v>
      </c>
      <c r="I289" s="105">
        <v>0</v>
      </c>
      <c r="J289" s="105">
        <v>0</v>
      </c>
      <c r="K289" s="148" t="s">
        <v>72</v>
      </c>
    </row>
    <row r="290" spans="1:11" s="46" customFormat="1" ht="33" customHeight="1" x14ac:dyDescent="0.3">
      <c r="A290" s="104">
        <f t="shared" si="2"/>
        <v>159</v>
      </c>
      <c r="B290" s="209"/>
      <c r="C290" s="148" t="s">
        <v>293</v>
      </c>
      <c r="D290" s="148" t="s">
        <v>243</v>
      </c>
      <c r="E290" s="146" t="s">
        <v>12</v>
      </c>
      <c r="F290" s="105">
        <v>19524.187999999998</v>
      </c>
      <c r="G290" s="105">
        <v>0</v>
      </c>
      <c r="H290" s="105">
        <v>19524.187999999998</v>
      </c>
      <c r="I290" s="105">
        <v>0</v>
      </c>
      <c r="J290" s="105">
        <v>0</v>
      </c>
      <c r="K290" s="148" t="s">
        <v>72</v>
      </c>
    </row>
    <row r="291" spans="1:11" s="46" customFormat="1" ht="33" customHeight="1" x14ac:dyDescent="0.3">
      <c r="A291" s="104">
        <f t="shared" si="2"/>
        <v>160</v>
      </c>
      <c r="B291" s="209"/>
      <c r="C291" s="148" t="s">
        <v>294</v>
      </c>
      <c r="D291" s="148" t="s">
        <v>295</v>
      </c>
      <c r="E291" s="146" t="s">
        <v>12</v>
      </c>
      <c r="F291" s="105">
        <v>1154.31</v>
      </c>
      <c r="G291" s="105">
        <v>1154.31</v>
      </c>
      <c r="H291" s="105">
        <v>0</v>
      </c>
      <c r="I291" s="105">
        <v>0</v>
      </c>
      <c r="J291" s="105">
        <v>0</v>
      </c>
      <c r="K291" s="148" t="s">
        <v>72</v>
      </c>
    </row>
    <row r="292" spans="1:11" s="46" customFormat="1" ht="33" customHeight="1" x14ac:dyDescent="0.3">
      <c r="A292" s="104">
        <f t="shared" si="2"/>
        <v>161</v>
      </c>
      <c r="B292" s="209"/>
      <c r="C292" s="148" t="s">
        <v>296</v>
      </c>
      <c r="D292" s="148" t="s">
        <v>243</v>
      </c>
      <c r="E292" s="146" t="s">
        <v>12</v>
      </c>
      <c r="F292" s="105">
        <v>2010</v>
      </c>
      <c r="G292" s="105">
        <v>2010</v>
      </c>
      <c r="H292" s="105">
        <v>0</v>
      </c>
      <c r="I292" s="105">
        <v>0</v>
      </c>
      <c r="J292" s="105">
        <v>0</v>
      </c>
      <c r="K292" s="148" t="s">
        <v>76</v>
      </c>
    </row>
    <row r="293" spans="1:11" s="46" customFormat="1" ht="33" customHeight="1" x14ac:dyDescent="0.3">
      <c r="A293" s="104">
        <f t="shared" si="2"/>
        <v>162</v>
      </c>
      <c r="B293" s="209"/>
      <c r="C293" s="148" t="s">
        <v>297</v>
      </c>
      <c r="D293" s="148" t="s">
        <v>298</v>
      </c>
      <c r="E293" s="146" t="s">
        <v>12</v>
      </c>
      <c r="F293" s="105">
        <v>11240.9</v>
      </c>
      <c r="G293" s="105">
        <v>11240.9</v>
      </c>
      <c r="H293" s="105">
        <v>0</v>
      </c>
      <c r="I293" s="105">
        <v>0</v>
      </c>
      <c r="J293" s="105">
        <v>0</v>
      </c>
      <c r="K293" s="148" t="s">
        <v>72</v>
      </c>
    </row>
    <row r="294" spans="1:11" s="46" customFormat="1" ht="33" customHeight="1" x14ac:dyDescent="0.3">
      <c r="A294" s="104">
        <f t="shared" si="2"/>
        <v>163</v>
      </c>
      <c r="B294" s="209"/>
      <c r="C294" s="148" t="s">
        <v>299</v>
      </c>
      <c r="D294" s="148" t="s">
        <v>300</v>
      </c>
      <c r="E294" s="146" t="s">
        <v>12</v>
      </c>
      <c r="F294" s="105">
        <v>17199.374190000002</v>
      </c>
      <c r="G294" s="105">
        <v>17199.374190000002</v>
      </c>
      <c r="H294" s="105">
        <v>0</v>
      </c>
      <c r="I294" s="105">
        <v>0</v>
      </c>
      <c r="J294" s="105">
        <v>0</v>
      </c>
      <c r="K294" s="148" t="s">
        <v>72</v>
      </c>
    </row>
    <row r="295" spans="1:11" s="46" customFormat="1" ht="33" customHeight="1" x14ac:dyDescent="0.3">
      <c r="A295" s="104">
        <f t="shared" si="2"/>
        <v>164</v>
      </c>
      <c r="B295" s="209"/>
      <c r="C295" s="148" t="s">
        <v>301</v>
      </c>
      <c r="D295" s="148" t="s">
        <v>49</v>
      </c>
      <c r="E295" s="146" t="s">
        <v>12</v>
      </c>
      <c r="F295" s="105">
        <v>2044.8</v>
      </c>
      <c r="G295" s="105">
        <v>1754</v>
      </c>
      <c r="H295" s="105">
        <v>290.8</v>
      </c>
      <c r="I295" s="105">
        <v>0</v>
      </c>
      <c r="J295" s="105">
        <v>0</v>
      </c>
      <c r="K295" s="148" t="s">
        <v>72</v>
      </c>
    </row>
    <row r="296" spans="1:11" s="46" customFormat="1" ht="70.8" customHeight="1" x14ac:dyDescent="0.3">
      <c r="A296" s="104">
        <f t="shared" si="2"/>
        <v>165</v>
      </c>
      <c r="B296" s="209"/>
      <c r="C296" s="148" t="s">
        <v>302</v>
      </c>
      <c r="D296" s="148" t="s">
        <v>303</v>
      </c>
      <c r="E296" s="146" t="s">
        <v>12</v>
      </c>
      <c r="F296" s="105">
        <v>943.00440000000003</v>
      </c>
      <c r="G296" s="105">
        <v>943.00440000000003</v>
      </c>
      <c r="H296" s="105">
        <v>0</v>
      </c>
      <c r="I296" s="105">
        <v>0</v>
      </c>
      <c r="J296" s="105">
        <v>0</v>
      </c>
      <c r="K296" s="148" t="s">
        <v>72</v>
      </c>
    </row>
    <row r="297" spans="1:11" s="46" customFormat="1" ht="31.8" customHeight="1" x14ac:dyDescent="0.3">
      <c r="A297" s="104">
        <f t="shared" si="2"/>
        <v>166</v>
      </c>
      <c r="B297" s="209"/>
      <c r="C297" s="148" t="s">
        <v>304</v>
      </c>
      <c r="D297" s="148" t="s">
        <v>305</v>
      </c>
      <c r="E297" s="146" t="s">
        <v>12</v>
      </c>
      <c r="F297" s="105">
        <v>794.2761999999999</v>
      </c>
      <c r="G297" s="105">
        <v>794.2761999999999</v>
      </c>
      <c r="H297" s="105">
        <v>0</v>
      </c>
      <c r="I297" s="105">
        <v>0</v>
      </c>
      <c r="J297" s="105">
        <v>0</v>
      </c>
      <c r="K297" s="148" t="s">
        <v>72</v>
      </c>
    </row>
    <row r="298" spans="1:11" s="46" customFormat="1" ht="31.8" customHeight="1" x14ac:dyDescent="0.3">
      <c r="A298" s="104">
        <f t="shared" si="2"/>
        <v>167</v>
      </c>
      <c r="B298" s="209"/>
      <c r="C298" s="148" t="s">
        <v>306</v>
      </c>
      <c r="D298" s="148" t="s">
        <v>286</v>
      </c>
      <c r="E298" s="146" t="s">
        <v>12</v>
      </c>
      <c r="F298" s="105">
        <v>2500</v>
      </c>
      <c r="G298" s="105">
        <v>2500</v>
      </c>
      <c r="H298" s="105">
        <v>0</v>
      </c>
      <c r="I298" s="105">
        <v>0</v>
      </c>
      <c r="J298" s="105">
        <v>0</v>
      </c>
      <c r="K298" s="148" t="s">
        <v>72</v>
      </c>
    </row>
    <row r="299" spans="1:11" s="46" customFormat="1" ht="27" customHeight="1" x14ac:dyDescent="0.3">
      <c r="A299" s="104">
        <f t="shared" si="2"/>
        <v>168</v>
      </c>
      <c r="B299" s="209"/>
      <c r="C299" s="148" t="s">
        <v>307</v>
      </c>
      <c r="D299" s="148" t="s">
        <v>286</v>
      </c>
      <c r="E299" s="146" t="s">
        <v>12</v>
      </c>
      <c r="F299" s="105">
        <v>1500</v>
      </c>
      <c r="G299" s="105">
        <v>1500</v>
      </c>
      <c r="H299" s="105">
        <v>0</v>
      </c>
      <c r="I299" s="105">
        <v>0</v>
      </c>
      <c r="J299" s="105">
        <v>0</v>
      </c>
      <c r="K299" s="148" t="s">
        <v>72</v>
      </c>
    </row>
    <row r="300" spans="1:11" s="46" customFormat="1" ht="27" customHeight="1" x14ac:dyDescent="0.3">
      <c r="A300" s="104">
        <f t="shared" si="2"/>
        <v>169</v>
      </c>
      <c r="B300" s="209"/>
      <c r="C300" s="148" t="s">
        <v>308</v>
      </c>
      <c r="D300" s="148" t="s">
        <v>309</v>
      </c>
      <c r="E300" s="146" t="s">
        <v>12</v>
      </c>
      <c r="F300" s="105">
        <v>990</v>
      </c>
      <c r="G300" s="105">
        <v>990</v>
      </c>
      <c r="H300" s="105">
        <v>0</v>
      </c>
      <c r="I300" s="105">
        <v>0</v>
      </c>
      <c r="J300" s="105">
        <v>0</v>
      </c>
      <c r="K300" s="148" t="s">
        <v>72</v>
      </c>
    </row>
    <row r="301" spans="1:11" s="46" customFormat="1" ht="27" customHeight="1" x14ac:dyDescent="0.3">
      <c r="A301" s="104">
        <f t="shared" si="2"/>
        <v>170</v>
      </c>
      <c r="B301" s="209"/>
      <c r="C301" s="148" t="s">
        <v>310</v>
      </c>
      <c r="D301" s="148" t="s">
        <v>91</v>
      </c>
      <c r="E301" s="146" t="s">
        <v>12</v>
      </c>
      <c r="F301" s="105">
        <v>990</v>
      </c>
      <c r="G301" s="105">
        <v>990</v>
      </c>
      <c r="H301" s="105">
        <v>0</v>
      </c>
      <c r="I301" s="105">
        <v>0</v>
      </c>
      <c r="J301" s="105">
        <v>0</v>
      </c>
      <c r="K301" s="148" t="s">
        <v>72</v>
      </c>
    </row>
    <row r="302" spans="1:11" s="46" customFormat="1" ht="34.799999999999997" customHeight="1" x14ac:dyDescent="0.3">
      <c r="A302" s="104">
        <f t="shared" si="2"/>
        <v>171</v>
      </c>
      <c r="B302" s="209"/>
      <c r="C302" s="148" t="s">
        <v>311</v>
      </c>
      <c r="D302" s="148" t="s">
        <v>292</v>
      </c>
      <c r="E302" s="146" t="s">
        <v>12</v>
      </c>
      <c r="F302" s="105">
        <v>2706.3359999999998</v>
      </c>
      <c r="G302" s="105">
        <v>2706.3359999999998</v>
      </c>
      <c r="H302" s="105">
        <v>0</v>
      </c>
      <c r="I302" s="105">
        <v>0</v>
      </c>
      <c r="J302" s="105">
        <v>0</v>
      </c>
      <c r="K302" s="148" t="s">
        <v>72</v>
      </c>
    </row>
    <row r="303" spans="1:11" s="46" customFormat="1" ht="34.799999999999997" customHeight="1" x14ac:dyDescent="0.3">
      <c r="A303" s="104">
        <f t="shared" si="2"/>
        <v>172</v>
      </c>
      <c r="B303" s="209"/>
      <c r="C303" s="148" t="s">
        <v>312</v>
      </c>
      <c r="D303" s="148" t="s">
        <v>290</v>
      </c>
      <c r="E303" s="146" t="s">
        <v>12</v>
      </c>
      <c r="F303" s="105">
        <v>19436.812000000002</v>
      </c>
      <c r="G303" s="105">
        <v>0</v>
      </c>
      <c r="H303" s="105">
        <v>19436.812000000002</v>
      </c>
      <c r="I303" s="105">
        <v>0</v>
      </c>
      <c r="J303" s="105">
        <v>0</v>
      </c>
      <c r="K303" s="148" t="s">
        <v>282</v>
      </c>
    </row>
    <row r="304" spans="1:11" s="46" customFormat="1" ht="34.799999999999997" customHeight="1" x14ac:dyDescent="0.3">
      <c r="A304" s="104">
        <f t="shared" si="2"/>
        <v>173</v>
      </c>
      <c r="B304" s="209"/>
      <c r="C304" s="148" t="s">
        <v>313</v>
      </c>
      <c r="D304" s="148" t="s">
        <v>292</v>
      </c>
      <c r="E304" s="146" t="s">
        <v>12</v>
      </c>
      <c r="F304" s="105">
        <v>2706.3359999999998</v>
      </c>
      <c r="G304" s="105">
        <v>0</v>
      </c>
      <c r="H304" s="105">
        <v>2706.3359999999998</v>
      </c>
      <c r="I304" s="105">
        <v>0</v>
      </c>
      <c r="J304" s="105">
        <v>0</v>
      </c>
      <c r="K304" s="148" t="s">
        <v>282</v>
      </c>
    </row>
    <row r="305" spans="1:11" s="46" customFormat="1" ht="34.799999999999997" customHeight="1" x14ac:dyDescent="0.3">
      <c r="A305" s="104">
        <f t="shared" si="2"/>
        <v>174</v>
      </c>
      <c r="B305" s="209"/>
      <c r="C305" s="148" t="s">
        <v>314</v>
      </c>
      <c r="D305" s="148" t="s">
        <v>286</v>
      </c>
      <c r="E305" s="146" t="s">
        <v>12</v>
      </c>
      <c r="F305" s="105">
        <v>15785.416810000001</v>
      </c>
      <c r="G305" s="105">
        <v>0</v>
      </c>
      <c r="H305" s="105">
        <v>15785.416810000001</v>
      </c>
      <c r="I305" s="105">
        <v>0</v>
      </c>
      <c r="J305" s="105">
        <v>0</v>
      </c>
      <c r="K305" s="148" t="s">
        <v>282</v>
      </c>
    </row>
    <row r="306" spans="1:11" s="46" customFormat="1" ht="34.200000000000003" customHeight="1" x14ac:dyDescent="0.3">
      <c r="A306" s="104">
        <f t="shared" si="2"/>
        <v>175</v>
      </c>
      <c r="B306" s="209"/>
      <c r="C306" s="148" t="s">
        <v>315</v>
      </c>
      <c r="D306" s="148" t="s">
        <v>243</v>
      </c>
      <c r="E306" s="146" t="s">
        <v>12</v>
      </c>
      <c r="F306" s="105">
        <v>19524.187999999998</v>
      </c>
      <c r="G306" s="105">
        <v>0</v>
      </c>
      <c r="H306" s="105">
        <v>0</v>
      </c>
      <c r="I306" s="105">
        <v>19524.187999999998</v>
      </c>
      <c r="J306" s="105">
        <v>0</v>
      </c>
      <c r="K306" s="148" t="s">
        <v>316</v>
      </c>
    </row>
    <row r="307" spans="1:11" s="46" customFormat="1" ht="34.200000000000003" customHeight="1" x14ac:dyDescent="0.3">
      <c r="A307" s="104">
        <f t="shared" si="2"/>
        <v>176</v>
      </c>
      <c r="B307" s="209"/>
      <c r="C307" s="148" t="s">
        <v>317</v>
      </c>
      <c r="D307" s="148" t="s">
        <v>290</v>
      </c>
      <c r="E307" s="146" t="s">
        <v>12</v>
      </c>
      <c r="F307" s="105">
        <v>19436.812000000002</v>
      </c>
      <c r="G307" s="105">
        <v>0</v>
      </c>
      <c r="H307" s="105">
        <v>0</v>
      </c>
      <c r="I307" s="105">
        <v>19436.812000000002</v>
      </c>
      <c r="J307" s="105">
        <v>0</v>
      </c>
      <c r="K307" s="148" t="s">
        <v>318</v>
      </c>
    </row>
    <row r="308" spans="1:11" s="46" customFormat="1" ht="34.200000000000003" customHeight="1" x14ac:dyDescent="0.3">
      <c r="A308" s="104">
        <f t="shared" si="2"/>
        <v>177</v>
      </c>
      <c r="B308" s="209"/>
      <c r="C308" s="148" t="s">
        <v>319</v>
      </c>
      <c r="D308" s="148" t="s">
        <v>292</v>
      </c>
      <c r="E308" s="146" t="s">
        <v>12</v>
      </c>
      <c r="F308" s="105">
        <v>2706.3359999999998</v>
      </c>
      <c r="G308" s="105">
        <v>0</v>
      </c>
      <c r="H308" s="105">
        <v>0</v>
      </c>
      <c r="I308" s="105">
        <v>2706.3359999999998</v>
      </c>
      <c r="J308" s="105">
        <v>0</v>
      </c>
      <c r="K308" s="148" t="s">
        <v>318</v>
      </c>
    </row>
    <row r="309" spans="1:11" s="46" customFormat="1" ht="34.200000000000003" customHeight="1" x14ac:dyDescent="0.3">
      <c r="A309" s="104">
        <f t="shared" si="2"/>
        <v>178</v>
      </c>
      <c r="B309" s="209"/>
      <c r="C309" s="148" t="s">
        <v>320</v>
      </c>
      <c r="D309" s="148" t="s">
        <v>286</v>
      </c>
      <c r="E309" s="146" t="s">
        <v>12</v>
      </c>
      <c r="F309" s="105">
        <v>15785.416810000001</v>
      </c>
      <c r="G309" s="105">
        <v>0</v>
      </c>
      <c r="H309" s="105">
        <v>0</v>
      </c>
      <c r="I309" s="105">
        <v>15785.416810000001</v>
      </c>
      <c r="J309" s="105">
        <v>0</v>
      </c>
      <c r="K309" s="148" t="s">
        <v>318</v>
      </c>
    </row>
    <row r="310" spans="1:11" s="47" customFormat="1" ht="12" customHeight="1" x14ac:dyDescent="0.3">
      <c r="A310" s="210" t="s">
        <v>57</v>
      </c>
      <c r="B310" s="210"/>
      <c r="C310" s="210"/>
      <c r="D310" s="210"/>
      <c r="E310" s="147"/>
      <c r="F310" s="106"/>
      <c r="G310" s="107">
        <f>SUM(G286:G309)</f>
        <v>57203.015600000006</v>
      </c>
      <c r="H310" s="107"/>
      <c r="I310" s="107"/>
      <c r="J310" s="107"/>
      <c r="K310" s="147"/>
    </row>
    <row r="311" spans="1:11" s="47" customFormat="1" ht="12" customHeight="1" x14ac:dyDescent="0.3">
      <c r="A311" s="210" t="s">
        <v>62</v>
      </c>
      <c r="B311" s="211"/>
      <c r="C311" s="211"/>
      <c r="D311" s="211"/>
      <c r="E311" s="147"/>
      <c r="F311" s="106"/>
      <c r="G311" s="106"/>
      <c r="H311" s="107">
        <f>SUM(H286:H309)</f>
        <v>57743.552810000008</v>
      </c>
      <c r="I311" s="107"/>
      <c r="J311" s="107"/>
      <c r="K311" s="147"/>
    </row>
    <row r="312" spans="1:11" s="47" customFormat="1" ht="15" customHeight="1" x14ac:dyDescent="0.3">
      <c r="A312" s="210" t="s">
        <v>19</v>
      </c>
      <c r="B312" s="211"/>
      <c r="C312" s="211"/>
      <c r="D312" s="211"/>
      <c r="E312" s="147"/>
      <c r="F312" s="106"/>
      <c r="G312" s="106"/>
      <c r="H312" s="107"/>
      <c r="I312" s="107">
        <f>SUM(I286:I309)</f>
        <v>57452.752810000005</v>
      </c>
      <c r="J312" s="107"/>
      <c r="K312" s="147"/>
    </row>
    <row r="313" spans="1:11" s="48" customFormat="1" ht="48" customHeight="1" x14ac:dyDescent="0.25">
      <c r="A313" s="108" t="s">
        <v>2529</v>
      </c>
      <c r="B313" s="212" t="s">
        <v>321</v>
      </c>
      <c r="C313" s="148" t="s">
        <v>322</v>
      </c>
      <c r="D313" s="148" t="s">
        <v>323</v>
      </c>
      <c r="E313" s="148" t="s">
        <v>12</v>
      </c>
      <c r="F313" s="105">
        <v>4189.3190000000004</v>
      </c>
      <c r="G313" s="109">
        <v>4189.3190000000004</v>
      </c>
      <c r="H313" s="105">
        <v>0</v>
      </c>
      <c r="I313" s="105">
        <v>0</v>
      </c>
      <c r="J313" s="105">
        <v>0</v>
      </c>
      <c r="K313" s="148" t="s">
        <v>72</v>
      </c>
    </row>
    <row r="314" spans="1:11" s="48" customFormat="1" ht="51.6" customHeight="1" x14ac:dyDescent="0.25">
      <c r="A314" s="108" t="s">
        <v>2530</v>
      </c>
      <c r="B314" s="212"/>
      <c r="C314" s="148" t="s">
        <v>324</v>
      </c>
      <c r="D314" s="148" t="s">
        <v>325</v>
      </c>
      <c r="E314" s="148" t="s">
        <v>12</v>
      </c>
      <c r="F314" s="105">
        <v>424</v>
      </c>
      <c r="G314" s="109">
        <v>424</v>
      </c>
      <c r="H314" s="105">
        <v>0</v>
      </c>
      <c r="I314" s="105">
        <v>0</v>
      </c>
      <c r="J314" s="105">
        <v>0</v>
      </c>
      <c r="K314" s="148" t="s">
        <v>72</v>
      </c>
    </row>
    <row r="315" spans="1:11" s="48" customFormat="1" ht="46.8" customHeight="1" x14ac:dyDescent="0.25">
      <c r="A315" s="108" t="s">
        <v>2531</v>
      </c>
      <c r="B315" s="212"/>
      <c r="C315" s="148" t="s">
        <v>326</v>
      </c>
      <c r="D315" s="148" t="s">
        <v>327</v>
      </c>
      <c r="E315" s="148" t="s">
        <v>12</v>
      </c>
      <c r="F315" s="105">
        <v>157.44999999999999</v>
      </c>
      <c r="G315" s="109">
        <v>157.44999999999999</v>
      </c>
      <c r="H315" s="105">
        <v>0</v>
      </c>
      <c r="I315" s="105">
        <v>0</v>
      </c>
      <c r="J315" s="105">
        <v>0</v>
      </c>
      <c r="K315" s="148" t="s">
        <v>72</v>
      </c>
    </row>
    <row r="316" spans="1:11" s="48" customFormat="1" ht="44.4" customHeight="1" x14ac:dyDescent="0.25">
      <c r="A316" s="108" t="s">
        <v>2532</v>
      </c>
      <c r="B316" s="212"/>
      <c r="C316" s="148" t="s">
        <v>328</v>
      </c>
      <c r="D316" s="148" t="s">
        <v>325</v>
      </c>
      <c r="E316" s="148" t="s">
        <v>12</v>
      </c>
      <c r="F316" s="105">
        <v>877</v>
      </c>
      <c r="G316" s="109">
        <v>877</v>
      </c>
      <c r="H316" s="105">
        <v>0</v>
      </c>
      <c r="I316" s="105">
        <v>0</v>
      </c>
      <c r="J316" s="105">
        <v>0</v>
      </c>
      <c r="K316" s="148" t="s">
        <v>72</v>
      </c>
    </row>
    <row r="317" spans="1:11" s="48" customFormat="1" ht="32.4" customHeight="1" x14ac:dyDescent="0.25">
      <c r="A317" s="108" t="s">
        <v>2533</v>
      </c>
      <c r="B317" s="212"/>
      <c r="C317" s="148" t="s">
        <v>329</v>
      </c>
      <c r="D317" s="148" t="s">
        <v>323</v>
      </c>
      <c r="E317" s="148" t="s">
        <v>12</v>
      </c>
      <c r="F317" s="105">
        <v>6632.19</v>
      </c>
      <c r="G317" s="109">
        <v>6632.19</v>
      </c>
      <c r="H317" s="105">
        <v>0</v>
      </c>
      <c r="I317" s="105">
        <v>0</v>
      </c>
      <c r="J317" s="105">
        <v>0</v>
      </c>
      <c r="K317" s="148" t="s">
        <v>72</v>
      </c>
    </row>
    <row r="318" spans="1:11" s="48" customFormat="1" ht="57" customHeight="1" x14ac:dyDescent="0.25">
      <c r="A318" s="108" t="s">
        <v>1139</v>
      </c>
      <c r="B318" s="212"/>
      <c r="C318" s="148" t="s">
        <v>330</v>
      </c>
      <c r="D318" s="148" t="s">
        <v>93</v>
      </c>
      <c r="E318" s="148" t="s">
        <v>12</v>
      </c>
      <c r="F318" s="105">
        <v>790.5</v>
      </c>
      <c r="G318" s="109">
        <v>790.5</v>
      </c>
      <c r="H318" s="105">
        <v>0</v>
      </c>
      <c r="I318" s="105">
        <v>0</v>
      </c>
      <c r="J318" s="105">
        <v>0</v>
      </c>
      <c r="K318" s="148" t="s">
        <v>72</v>
      </c>
    </row>
    <row r="319" spans="1:11" s="47" customFormat="1" ht="15.6" customHeight="1" x14ac:dyDescent="0.3">
      <c r="A319" s="213" t="s">
        <v>57</v>
      </c>
      <c r="B319" s="213"/>
      <c r="C319" s="213"/>
      <c r="D319" s="213"/>
      <c r="E319" s="147"/>
      <c r="F319" s="106"/>
      <c r="G319" s="107">
        <f>SUM(G313:G318)</f>
        <v>13070.458999999999</v>
      </c>
      <c r="H319" s="107"/>
      <c r="I319" s="107"/>
      <c r="J319" s="107"/>
      <c r="K319" s="147"/>
    </row>
    <row r="320" spans="1:11" s="49" customFormat="1" ht="15" customHeight="1" x14ac:dyDescent="0.3">
      <c r="A320" s="214" t="s">
        <v>62</v>
      </c>
      <c r="B320" s="215"/>
      <c r="C320" s="215"/>
      <c r="D320" s="215"/>
      <c r="E320" s="147"/>
      <c r="F320" s="106"/>
      <c r="G320" s="106"/>
      <c r="H320" s="107">
        <f>SUM(H313:H319)</f>
        <v>0</v>
      </c>
      <c r="I320" s="107"/>
      <c r="J320" s="107"/>
      <c r="K320" s="147"/>
    </row>
    <row r="321" spans="1:11" s="49" customFormat="1" ht="14.4" customHeight="1" x14ac:dyDescent="0.3">
      <c r="A321" s="214" t="s">
        <v>19</v>
      </c>
      <c r="B321" s="215"/>
      <c r="C321" s="215"/>
      <c r="D321" s="215"/>
      <c r="E321" s="147"/>
      <c r="F321" s="106"/>
      <c r="G321" s="106"/>
      <c r="H321" s="107"/>
      <c r="I321" s="107">
        <f>SUM(I313:I320)</f>
        <v>0</v>
      </c>
      <c r="J321" s="107"/>
      <c r="K321" s="147"/>
    </row>
    <row r="322" spans="1:11" s="46" customFormat="1" ht="46.2" customHeight="1" x14ac:dyDescent="0.3">
      <c r="A322" s="104">
        <v>185</v>
      </c>
      <c r="B322" s="216" t="s">
        <v>331</v>
      </c>
      <c r="C322" s="148" t="s">
        <v>332</v>
      </c>
      <c r="D322" s="148" t="s">
        <v>333</v>
      </c>
      <c r="E322" s="146" t="s">
        <v>12</v>
      </c>
      <c r="F322" s="105">
        <v>500.83600000000001</v>
      </c>
      <c r="G322" s="105">
        <v>500.83600000000001</v>
      </c>
      <c r="H322" s="105">
        <v>0</v>
      </c>
      <c r="I322" s="105">
        <v>0</v>
      </c>
      <c r="J322" s="105">
        <v>0</v>
      </c>
      <c r="K322" s="148" t="s">
        <v>72</v>
      </c>
    </row>
    <row r="323" spans="1:11" s="46" customFormat="1" ht="46.2" customHeight="1" x14ac:dyDescent="0.3">
      <c r="A323" s="104">
        <f>A322+1</f>
        <v>186</v>
      </c>
      <c r="B323" s="216"/>
      <c r="C323" s="148" t="s">
        <v>334</v>
      </c>
      <c r="D323" s="148" t="s">
        <v>323</v>
      </c>
      <c r="E323" s="146" t="s">
        <v>12</v>
      </c>
      <c r="F323" s="105">
        <v>5960.1710000000003</v>
      </c>
      <c r="G323" s="105">
        <v>5960.1710000000003</v>
      </c>
      <c r="H323" s="105">
        <v>0</v>
      </c>
      <c r="I323" s="105">
        <v>0</v>
      </c>
      <c r="J323" s="105">
        <v>0</v>
      </c>
      <c r="K323" s="148" t="s">
        <v>72</v>
      </c>
    </row>
    <row r="324" spans="1:11" s="46" customFormat="1" ht="46.2" customHeight="1" x14ac:dyDescent="0.3">
      <c r="A324" s="104">
        <f t="shared" ref="A324:A343" si="3">A323+1</f>
        <v>187</v>
      </c>
      <c r="B324" s="216"/>
      <c r="C324" s="148" t="s">
        <v>335</v>
      </c>
      <c r="D324" s="148" t="s">
        <v>286</v>
      </c>
      <c r="E324" s="146" t="s">
        <v>12</v>
      </c>
      <c r="F324" s="105">
        <v>880.84</v>
      </c>
      <c r="G324" s="105">
        <v>880.84</v>
      </c>
      <c r="H324" s="105">
        <v>0</v>
      </c>
      <c r="I324" s="105">
        <v>0</v>
      </c>
      <c r="J324" s="105">
        <v>0</v>
      </c>
      <c r="K324" s="148" t="s">
        <v>72</v>
      </c>
    </row>
    <row r="325" spans="1:11" s="46" customFormat="1" ht="36.6" customHeight="1" x14ac:dyDescent="0.3">
      <c r="A325" s="104">
        <f t="shared" si="3"/>
        <v>188</v>
      </c>
      <c r="B325" s="216"/>
      <c r="C325" s="148" t="s">
        <v>336</v>
      </c>
      <c r="D325" s="148" t="s">
        <v>91</v>
      </c>
      <c r="E325" s="146" t="s">
        <v>12</v>
      </c>
      <c r="F325" s="105">
        <v>687.875</v>
      </c>
      <c r="G325" s="105">
        <v>687.875</v>
      </c>
      <c r="H325" s="105">
        <v>0</v>
      </c>
      <c r="I325" s="105">
        <v>0</v>
      </c>
      <c r="J325" s="105">
        <v>0</v>
      </c>
      <c r="K325" s="148" t="s">
        <v>72</v>
      </c>
    </row>
    <row r="326" spans="1:11" s="46" customFormat="1" ht="36.6" customHeight="1" x14ac:dyDescent="0.3">
      <c r="A326" s="104">
        <f t="shared" si="3"/>
        <v>189</v>
      </c>
      <c r="B326" s="216"/>
      <c r="C326" s="148" t="s">
        <v>337</v>
      </c>
      <c r="D326" s="148" t="s">
        <v>286</v>
      </c>
      <c r="E326" s="146" t="s">
        <v>12</v>
      </c>
      <c r="F326" s="105">
        <v>557.35500000000002</v>
      </c>
      <c r="G326" s="105">
        <v>557.35500000000002</v>
      </c>
      <c r="H326" s="105">
        <v>0</v>
      </c>
      <c r="I326" s="105">
        <v>0</v>
      </c>
      <c r="J326" s="105">
        <v>0</v>
      </c>
      <c r="K326" s="148" t="s">
        <v>72</v>
      </c>
    </row>
    <row r="327" spans="1:11" s="46" customFormat="1" ht="36.6" customHeight="1" x14ac:dyDescent="0.3">
      <c r="A327" s="104">
        <f t="shared" si="3"/>
        <v>190</v>
      </c>
      <c r="B327" s="216"/>
      <c r="C327" s="148" t="s">
        <v>338</v>
      </c>
      <c r="D327" s="148" t="s">
        <v>286</v>
      </c>
      <c r="E327" s="146" t="s">
        <v>12</v>
      </c>
      <c r="F327" s="105">
        <v>412.3</v>
      </c>
      <c r="G327" s="105">
        <v>412.3</v>
      </c>
      <c r="H327" s="105">
        <v>0</v>
      </c>
      <c r="I327" s="105">
        <v>0</v>
      </c>
      <c r="J327" s="105">
        <v>0</v>
      </c>
      <c r="K327" s="148" t="s">
        <v>72</v>
      </c>
    </row>
    <row r="328" spans="1:11" s="46" customFormat="1" ht="36.6" customHeight="1" x14ac:dyDescent="0.3">
      <c r="A328" s="104">
        <f t="shared" si="3"/>
        <v>191</v>
      </c>
      <c r="B328" s="216"/>
      <c r="C328" s="148" t="s">
        <v>339</v>
      </c>
      <c r="D328" s="148" t="s">
        <v>235</v>
      </c>
      <c r="E328" s="146" t="s">
        <v>12</v>
      </c>
      <c r="F328" s="105">
        <v>1217.1600000000001</v>
      </c>
      <c r="G328" s="105">
        <v>1217.1600000000001</v>
      </c>
      <c r="H328" s="105">
        <v>0</v>
      </c>
      <c r="I328" s="105">
        <v>0</v>
      </c>
      <c r="J328" s="105">
        <v>0</v>
      </c>
      <c r="K328" s="148" t="s">
        <v>72</v>
      </c>
    </row>
    <row r="329" spans="1:11" s="46" customFormat="1" ht="37.799999999999997" customHeight="1" x14ac:dyDescent="0.3">
      <c r="A329" s="104">
        <f t="shared" si="3"/>
        <v>192</v>
      </c>
      <c r="B329" s="216"/>
      <c r="C329" s="148" t="s">
        <v>340</v>
      </c>
      <c r="D329" s="148" t="s">
        <v>341</v>
      </c>
      <c r="E329" s="146" t="s">
        <v>12</v>
      </c>
      <c r="F329" s="105">
        <v>676.19</v>
      </c>
      <c r="G329" s="105">
        <v>676.19</v>
      </c>
      <c r="H329" s="105">
        <v>0</v>
      </c>
      <c r="I329" s="105">
        <v>0</v>
      </c>
      <c r="J329" s="105">
        <v>0</v>
      </c>
      <c r="K329" s="148" t="s">
        <v>72</v>
      </c>
    </row>
    <row r="330" spans="1:11" s="46" customFormat="1" ht="37.799999999999997" customHeight="1" x14ac:dyDescent="0.3">
      <c r="A330" s="104">
        <f t="shared" si="3"/>
        <v>193</v>
      </c>
      <c r="B330" s="216"/>
      <c r="C330" s="148" t="s">
        <v>342</v>
      </c>
      <c r="D330" s="148" t="s">
        <v>343</v>
      </c>
      <c r="E330" s="146" t="s">
        <v>12</v>
      </c>
      <c r="F330" s="105">
        <v>548.21699999999998</v>
      </c>
      <c r="G330" s="105">
        <v>548.21699999999998</v>
      </c>
      <c r="H330" s="105">
        <v>0</v>
      </c>
      <c r="I330" s="105">
        <v>0</v>
      </c>
      <c r="J330" s="105">
        <v>0</v>
      </c>
      <c r="K330" s="148" t="s">
        <v>72</v>
      </c>
    </row>
    <row r="331" spans="1:11" s="46" customFormat="1" ht="37.799999999999997" customHeight="1" x14ac:dyDescent="0.3">
      <c r="A331" s="104">
        <f t="shared" si="3"/>
        <v>194</v>
      </c>
      <c r="B331" s="216"/>
      <c r="C331" s="148" t="s">
        <v>344</v>
      </c>
      <c r="D331" s="148" t="s">
        <v>345</v>
      </c>
      <c r="E331" s="146" t="s">
        <v>12</v>
      </c>
      <c r="F331" s="105">
        <v>5096.2539999999999</v>
      </c>
      <c r="G331" s="105">
        <v>5096.2539999999999</v>
      </c>
      <c r="H331" s="105">
        <v>0</v>
      </c>
      <c r="I331" s="105">
        <v>0</v>
      </c>
      <c r="J331" s="105">
        <v>0</v>
      </c>
      <c r="K331" s="148" t="s">
        <v>72</v>
      </c>
    </row>
    <row r="332" spans="1:11" s="46" customFormat="1" ht="55.8" customHeight="1" x14ac:dyDescent="0.3">
      <c r="A332" s="104">
        <f t="shared" si="3"/>
        <v>195</v>
      </c>
      <c r="B332" s="216"/>
      <c r="C332" s="148" t="s">
        <v>346</v>
      </c>
      <c r="D332" s="148" t="s">
        <v>347</v>
      </c>
      <c r="E332" s="146" t="s">
        <v>12</v>
      </c>
      <c r="F332" s="105">
        <v>865</v>
      </c>
      <c r="G332" s="105">
        <v>865</v>
      </c>
      <c r="H332" s="105">
        <v>0</v>
      </c>
      <c r="I332" s="105">
        <v>0</v>
      </c>
      <c r="J332" s="105">
        <v>0</v>
      </c>
      <c r="K332" s="148" t="s">
        <v>76</v>
      </c>
    </row>
    <row r="333" spans="1:11" s="46" customFormat="1" ht="45.6" customHeight="1" x14ac:dyDescent="0.3">
      <c r="A333" s="104">
        <f t="shared" si="3"/>
        <v>196</v>
      </c>
      <c r="B333" s="216"/>
      <c r="C333" s="148" t="s">
        <v>348</v>
      </c>
      <c r="D333" s="148" t="s">
        <v>349</v>
      </c>
      <c r="E333" s="146" t="s">
        <v>12</v>
      </c>
      <c r="F333" s="105">
        <v>6160.09</v>
      </c>
      <c r="G333" s="105">
        <v>6160.09</v>
      </c>
      <c r="H333" s="105">
        <v>0</v>
      </c>
      <c r="I333" s="105">
        <v>0</v>
      </c>
      <c r="J333" s="105">
        <v>0</v>
      </c>
      <c r="K333" s="148" t="s">
        <v>72</v>
      </c>
    </row>
    <row r="334" spans="1:11" s="46" customFormat="1" ht="45.6" customHeight="1" x14ac:dyDescent="0.3">
      <c r="A334" s="104">
        <f t="shared" si="3"/>
        <v>197</v>
      </c>
      <c r="B334" s="216"/>
      <c r="C334" s="148" t="s">
        <v>350</v>
      </c>
      <c r="D334" s="148" t="s">
        <v>323</v>
      </c>
      <c r="E334" s="146" t="s">
        <v>12</v>
      </c>
      <c r="F334" s="105">
        <v>2248.7849999999999</v>
      </c>
      <c r="G334" s="105">
        <v>2248.7849999999999</v>
      </c>
      <c r="H334" s="105">
        <v>0</v>
      </c>
      <c r="I334" s="105">
        <v>0</v>
      </c>
      <c r="J334" s="105">
        <v>0</v>
      </c>
      <c r="K334" s="148" t="s">
        <v>72</v>
      </c>
    </row>
    <row r="335" spans="1:11" s="46" customFormat="1" ht="45.6" customHeight="1" x14ac:dyDescent="0.3">
      <c r="A335" s="104">
        <f t="shared" si="3"/>
        <v>198</v>
      </c>
      <c r="B335" s="216"/>
      <c r="C335" s="148" t="s">
        <v>351</v>
      </c>
      <c r="D335" s="148" t="s">
        <v>323</v>
      </c>
      <c r="E335" s="146" t="s">
        <v>12</v>
      </c>
      <c r="F335" s="105">
        <v>3337.9389999999999</v>
      </c>
      <c r="G335" s="105">
        <v>3337.9389999999999</v>
      </c>
      <c r="H335" s="105">
        <v>0</v>
      </c>
      <c r="I335" s="105">
        <v>0</v>
      </c>
      <c r="J335" s="105">
        <v>0</v>
      </c>
      <c r="K335" s="148" t="s">
        <v>72</v>
      </c>
    </row>
    <row r="336" spans="1:11" s="46" customFormat="1" ht="45.6" customHeight="1" x14ac:dyDescent="0.3">
      <c r="A336" s="104">
        <f t="shared" si="3"/>
        <v>199</v>
      </c>
      <c r="B336" s="216"/>
      <c r="C336" s="148" t="s">
        <v>352</v>
      </c>
      <c r="D336" s="148" t="s">
        <v>290</v>
      </c>
      <c r="E336" s="146" t="s">
        <v>12</v>
      </c>
      <c r="F336" s="105">
        <v>18423.34446</v>
      </c>
      <c r="G336" s="105">
        <v>0</v>
      </c>
      <c r="H336" s="105">
        <v>18423.34446</v>
      </c>
      <c r="I336" s="105">
        <v>0</v>
      </c>
      <c r="J336" s="105">
        <v>0</v>
      </c>
      <c r="K336" s="148" t="s">
        <v>282</v>
      </c>
    </row>
    <row r="337" spans="1:11" s="46" customFormat="1" ht="37.799999999999997" customHeight="1" x14ac:dyDescent="0.3">
      <c r="A337" s="104">
        <f t="shared" si="3"/>
        <v>200</v>
      </c>
      <c r="B337" s="216"/>
      <c r="C337" s="148" t="s">
        <v>353</v>
      </c>
      <c r="D337" s="148" t="s">
        <v>243</v>
      </c>
      <c r="E337" s="146" t="s">
        <v>12</v>
      </c>
      <c r="F337" s="105">
        <v>15954.302</v>
      </c>
      <c r="G337" s="105">
        <v>0</v>
      </c>
      <c r="H337" s="105">
        <v>15954.302</v>
      </c>
      <c r="I337" s="105">
        <v>0</v>
      </c>
      <c r="J337" s="105">
        <v>0</v>
      </c>
      <c r="K337" s="148" t="s">
        <v>316</v>
      </c>
    </row>
    <row r="338" spans="1:11" s="46" customFormat="1" ht="37.799999999999997" customHeight="1" x14ac:dyDescent="0.3">
      <c r="A338" s="104">
        <f t="shared" si="3"/>
        <v>201</v>
      </c>
      <c r="B338" s="216"/>
      <c r="C338" s="148" t="s">
        <v>354</v>
      </c>
      <c r="D338" s="148" t="s">
        <v>355</v>
      </c>
      <c r="E338" s="146" t="s">
        <v>12</v>
      </c>
      <c r="F338" s="105">
        <v>500.83600000000001</v>
      </c>
      <c r="G338" s="105">
        <v>0</v>
      </c>
      <c r="H338" s="105">
        <v>500.83600000000001</v>
      </c>
      <c r="I338" s="105">
        <v>0</v>
      </c>
      <c r="J338" s="105">
        <v>0</v>
      </c>
      <c r="K338" s="148" t="s">
        <v>282</v>
      </c>
    </row>
    <row r="339" spans="1:11" s="46" customFormat="1" ht="33" customHeight="1" x14ac:dyDescent="0.3">
      <c r="A339" s="104">
        <f t="shared" si="3"/>
        <v>202</v>
      </c>
      <c r="B339" s="216"/>
      <c r="C339" s="148" t="s">
        <v>356</v>
      </c>
      <c r="D339" s="148" t="s">
        <v>357</v>
      </c>
      <c r="E339" s="146" t="s">
        <v>12</v>
      </c>
      <c r="F339" s="105">
        <v>2234.25</v>
      </c>
      <c r="G339" s="105">
        <v>0</v>
      </c>
      <c r="H339" s="105">
        <v>2234.25</v>
      </c>
      <c r="I339" s="105">
        <v>0</v>
      </c>
      <c r="J339" s="105">
        <v>0</v>
      </c>
      <c r="K339" s="148" t="s">
        <v>282</v>
      </c>
    </row>
    <row r="340" spans="1:11" s="46" customFormat="1" ht="33" customHeight="1" x14ac:dyDescent="0.3">
      <c r="A340" s="104">
        <f t="shared" si="3"/>
        <v>203</v>
      </c>
      <c r="B340" s="216"/>
      <c r="C340" s="148" t="s">
        <v>358</v>
      </c>
      <c r="D340" s="148" t="s">
        <v>243</v>
      </c>
      <c r="E340" s="146" t="s">
        <v>12</v>
      </c>
      <c r="F340" s="105">
        <v>15954.302</v>
      </c>
      <c r="G340" s="105">
        <v>0</v>
      </c>
      <c r="H340" s="105">
        <v>0</v>
      </c>
      <c r="I340" s="105">
        <v>15954.302</v>
      </c>
      <c r="J340" s="105">
        <v>0</v>
      </c>
      <c r="K340" s="148" t="s">
        <v>359</v>
      </c>
    </row>
    <row r="341" spans="1:11" s="46" customFormat="1" ht="33" customHeight="1" x14ac:dyDescent="0.3">
      <c r="A341" s="104">
        <f t="shared" si="3"/>
        <v>204</v>
      </c>
      <c r="B341" s="216"/>
      <c r="C341" s="148" t="s">
        <v>360</v>
      </c>
      <c r="D341" s="148" t="s">
        <v>361</v>
      </c>
      <c r="E341" s="146" t="s">
        <v>12</v>
      </c>
      <c r="F341" s="105">
        <v>500.83600000000001</v>
      </c>
      <c r="G341" s="105">
        <v>0</v>
      </c>
      <c r="H341" s="105">
        <v>0</v>
      </c>
      <c r="I341" s="105">
        <v>500.83600000000001</v>
      </c>
      <c r="J341" s="105">
        <v>0</v>
      </c>
      <c r="K341" s="148" t="s">
        <v>318</v>
      </c>
    </row>
    <row r="342" spans="1:11" s="46" customFormat="1" ht="33" customHeight="1" x14ac:dyDescent="0.3">
      <c r="A342" s="104">
        <f t="shared" si="3"/>
        <v>205</v>
      </c>
      <c r="B342" s="216"/>
      <c r="C342" s="148" t="s">
        <v>362</v>
      </c>
      <c r="D342" s="148" t="s">
        <v>290</v>
      </c>
      <c r="E342" s="146" t="s">
        <v>12</v>
      </c>
      <c r="F342" s="105">
        <v>18423.34446</v>
      </c>
      <c r="G342" s="105">
        <v>0</v>
      </c>
      <c r="H342" s="105">
        <v>0</v>
      </c>
      <c r="I342" s="105">
        <v>18423.34446</v>
      </c>
      <c r="J342" s="105">
        <v>0</v>
      </c>
      <c r="K342" s="148" t="s">
        <v>318</v>
      </c>
    </row>
    <row r="343" spans="1:11" s="46" customFormat="1" ht="33" customHeight="1" x14ac:dyDescent="0.3">
      <c r="A343" s="104">
        <f t="shared" si="3"/>
        <v>206</v>
      </c>
      <c r="B343" s="216"/>
      <c r="C343" s="148" t="s">
        <v>363</v>
      </c>
      <c r="D343" s="148" t="s">
        <v>364</v>
      </c>
      <c r="E343" s="146" t="s">
        <v>12</v>
      </c>
      <c r="F343" s="105">
        <v>2234.25</v>
      </c>
      <c r="G343" s="105">
        <v>0</v>
      </c>
      <c r="H343" s="105">
        <v>0</v>
      </c>
      <c r="I343" s="105">
        <v>2234.25</v>
      </c>
      <c r="J343" s="105">
        <v>0</v>
      </c>
      <c r="K343" s="148" t="s">
        <v>318</v>
      </c>
    </row>
    <row r="344" spans="1:11" s="47" customFormat="1" ht="12.6" customHeight="1" x14ac:dyDescent="0.3">
      <c r="A344" s="213" t="s">
        <v>57</v>
      </c>
      <c r="B344" s="213"/>
      <c r="C344" s="213"/>
      <c r="D344" s="213"/>
      <c r="E344" s="147"/>
      <c r="F344" s="106"/>
      <c r="G344" s="107">
        <f>SUM(G322:G343)</f>
        <v>29149.011999999999</v>
      </c>
      <c r="H344" s="107"/>
      <c r="I344" s="107"/>
      <c r="J344" s="107"/>
      <c r="K344" s="147"/>
    </row>
    <row r="345" spans="1:11" s="49" customFormat="1" ht="18" customHeight="1" x14ac:dyDescent="0.3">
      <c r="A345" s="214" t="s">
        <v>62</v>
      </c>
      <c r="B345" s="215"/>
      <c r="C345" s="215"/>
      <c r="D345" s="215"/>
      <c r="E345" s="147"/>
      <c r="F345" s="106"/>
      <c r="G345" s="106"/>
      <c r="H345" s="107">
        <f>SUM(H322:H343)</f>
        <v>37112.732460000007</v>
      </c>
      <c r="I345" s="107"/>
      <c r="J345" s="107"/>
      <c r="K345" s="147"/>
    </row>
    <row r="346" spans="1:11" s="49" customFormat="1" ht="14.4" customHeight="1" x14ac:dyDescent="0.3">
      <c r="A346" s="214" t="s">
        <v>19</v>
      </c>
      <c r="B346" s="215"/>
      <c r="C346" s="215"/>
      <c r="D346" s="215"/>
      <c r="E346" s="147"/>
      <c r="F346" s="106"/>
      <c r="G346" s="106"/>
      <c r="H346" s="107"/>
      <c r="I346" s="107">
        <f>SUM(I322:I343)</f>
        <v>37112.732459999999</v>
      </c>
      <c r="J346" s="107"/>
      <c r="K346" s="147"/>
    </row>
    <row r="347" spans="1:11" s="48" customFormat="1" ht="34.200000000000003" customHeight="1" x14ac:dyDescent="0.25">
      <c r="A347" s="104">
        <v>207</v>
      </c>
      <c r="B347" s="212" t="s">
        <v>365</v>
      </c>
      <c r="C347" s="148" t="s">
        <v>366</v>
      </c>
      <c r="D347" s="148" t="s">
        <v>367</v>
      </c>
      <c r="E347" s="148" t="s">
        <v>12</v>
      </c>
      <c r="F347" s="105">
        <v>735.79499999999996</v>
      </c>
      <c r="G347" s="105">
        <v>735.79499999999996</v>
      </c>
      <c r="H347" s="105">
        <v>0</v>
      </c>
      <c r="I347" s="105">
        <v>0</v>
      </c>
      <c r="J347" s="105">
        <v>0</v>
      </c>
      <c r="K347" s="148" t="s">
        <v>72</v>
      </c>
    </row>
    <row r="348" spans="1:11" s="48" customFormat="1" ht="34.200000000000003" customHeight="1" x14ac:dyDescent="0.25">
      <c r="A348" s="104">
        <f>A347+1</f>
        <v>208</v>
      </c>
      <c r="B348" s="212"/>
      <c r="C348" s="148" t="s">
        <v>368</v>
      </c>
      <c r="D348" s="148" t="s">
        <v>369</v>
      </c>
      <c r="E348" s="148" t="s">
        <v>12</v>
      </c>
      <c r="F348" s="105">
        <v>1707.7449999999999</v>
      </c>
      <c r="G348" s="105">
        <v>1707.7449999999999</v>
      </c>
      <c r="H348" s="105">
        <v>0</v>
      </c>
      <c r="I348" s="105">
        <v>0</v>
      </c>
      <c r="J348" s="105">
        <v>0</v>
      </c>
      <c r="K348" s="148" t="s">
        <v>72</v>
      </c>
    </row>
    <row r="349" spans="1:11" s="48" customFormat="1" ht="34.200000000000003" customHeight="1" x14ac:dyDescent="0.25">
      <c r="A349" s="104">
        <f t="shared" ref="A349:A357" si="4">A348+1</f>
        <v>209</v>
      </c>
      <c r="B349" s="212"/>
      <c r="C349" s="148" t="s">
        <v>370</v>
      </c>
      <c r="D349" s="148" t="s">
        <v>371</v>
      </c>
      <c r="E349" s="148" t="s">
        <v>12</v>
      </c>
      <c r="F349" s="105">
        <v>4768.6099999999997</v>
      </c>
      <c r="G349" s="105">
        <v>4768.6099999999997</v>
      </c>
      <c r="H349" s="105">
        <v>0</v>
      </c>
      <c r="I349" s="105">
        <v>0</v>
      </c>
      <c r="J349" s="105">
        <v>0</v>
      </c>
      <c r="K349" s="148" t="s">
        <v>72</v>
      </c>
    </row>
    <row r="350" spans="1:11" s="48" customFormat="1" ht="34.200000000000003" customHeight="1" x14ac:dyDescent="0.25">
      <c r="A350" s="104">
        <f t="shared" si="4"/>
        <v>210</v>
      </c>
      <c r="B350" s="212"/>
      <c r="C350" s="148" t="s">
        <v>372</v>
      </c>
      <c r="D350" s="148" t="s">
        <v>323</v>
      </c>
      <c r="E350" s="148" t="s">
        <v>12</v>
      </c>
      <c r="F350" s="105">
        <v>1081.19</v>
      </c>
      <c r="G350" s="105">
        <v>1081.19</v>
      </c>
      <c r="H350" s="105">
        <v>0</v>
      </c>
      <c r="I350" s="105">
        <v>0</v>
      </c>
      <c r="J350" s="105">
        <v>0</v>
      </c>
      <c r="K350" s="148" t="s">
        <v>72</v>
      </c>
    </row>
    <row r="351" spans="1:11" s="48" customFormat="1" ht="36.6" customHeight="1" x14ac:dyDescent="0.25">
      <c r="A351" s="104">
        <f t="shared" si="4"/>
        <v>211</v>
      </c>
      <c r="B351" s="212"/>
      <c r="C351" s="148" t="s">
        <v>373</v>
      </c>
      <c r="D351" s="148" t="s">
        <v>323</v>
      </c>
      <c r="E351" s="148" t="s">
        <v>12</v>
      </c>
      <c r="F351" s="105">
        <v>2093.64</v>
      </c>
      <c r="G351" s="105">
        <v>2093.64</v>
      </c>
      <c r="H351" s="105">
        <v>0</v>
      </c>
      <c r="I351" s="105">
        <v>0</v>
      </c>
      <c r="J351" s="105">
        <v>0</v>
      </c>
      <c r="K351" s="148" t="s">
        <v>72</v>
      </c>
    </row>
    <row r="352" spans="1:11" s="48" customFormat="1" ht="36.6" customHeight="1" x14ac:dyDescent="0.25">
      <c r="A352" s="104">
        <f t="shared" si="4"/>
        <v>212</v>
      </c>
      <c r="B352" s="212"/>
      <c r="C352" s="148" t="s">
        <v>374</v>
      </c>
      <c r="D352" s="148" t="s">
        <v>323</v>
      </c>
      <c r="E352" s="148" t="s">
        <v>12</v>
      </c>
      <c r="F352" s="105">
        <v>3322.97</v>
      </c>
      <c r="G352" s="105">
        <v>3322.97</v>
      </c>
      <c r="H352" s="105">
        <v>0</v>
      </c>
      <c r="I352" s="105">
        <v>0</v>
      </c>
      <c r="J352" s="105">
        <v>0</v>
      </c>
      <c r="K352" s="148" t="s">
        <v>72</v>
      </c>
    </row>
    <row r="353" spans="1:11" s="48" customFormat="1" ht="36.6" customHeight="1" x14ac:dyDescent="0.25">
      <c r="A353" s="104">
        <f t="shared" si="4"/>
        <v>213</v>
      </c>
      <c r="B353" s="212"/>
      <c r="C353" s="148" t="s">
        <v>375</v>
      </c>
      <c r="D353" s="148" t="s">
        <v>286</v>
      </c>
      <c r="E353" s="148" t="s">
        <v>12</v>
      </c>
      <c r="F353" s="105">
        <v>437.46</v>
      </c>
      <c r="G353" s="105">
        <v>437.46</v>
      </c>
      <c r="H353" s="105">
        <v>0</v>
      </c>
      <c r="I353" s="105">
        <v>0</v>
      </c>
      <c r="J353" s="105">
        <v>0</v>
      </c>
      <c r="K353" s="148" t="s">
        <v>72</v>
      </c>
    </row>
    <row r="354" spans="1:11" s="48" customFormat="1" ht="38.4" customHeight="1" x14ac:dyDescent="0.25">
      <c r="A354" s="104">
        <f t="shared" si="4"/>
        <v>214</v>
      </c>
      <c r="B354" s="212"/>
      <c r="C354" s="148" t="s">
        <v>376</v>
      </c>
      <c r="D354" s="148" t="s">
        <v>243</v>
      </c>
      <c r="E354" s="148" t="s">
        <v>12</v>
      </c>
      <c r="F354" s="105">
        <v>2097.0259999999998</v>
      </c>
      <c r="G354" s="105">
        <v>2097.0259999999998</v>
      </c>
      <c r="H354" s="105">
        <v>0</v>
      </c>
      <c r="I354" s="105">
        <v>0</v>
      </c>
      <c r="J354" s="105">
        <v>0</v>
      </c>
      <c r="K354" s="148" t="s">
        <v>72</v>
      </c>
    </row>
    <row r="355" spans="1:11" s="48" customFormat="1" ht="38.4" customHeight="1" x14ac:dyDescent="0.25">
      <c r="A355" s="104">
        <f t="shared" si="4"/>
        <v>215</v>
      </c>
      <c r="B355" s="212"/>
      <c r="C355" s="148" t="s">
        <v>377</v>
      </c>
      <c r="D355" s="148" t="s">
        <v>49</v>
      </c>
      <c r="E355" s="148" t="s">
        <v>12</v>
      </c>
      <c r="F355" s="105">
        <v>364.38900000000001</v>
      </c>
      <c r="G355" s="105">
        <v>364.38900000000001</v>
      </c>
      <c r="H355" s="105">
        <v>0</v>
      </c>
      <c r="I355" s="105">
        <v>0</v>
      </c>
      <c r="J355" s="105">
        <v>0</v>
      </c>
      <c r="K355" s="148" t="s">
        <v>72</v>
      </c>
    </row>
    <row r="356" spans="1:11" s="48" customFormat="1" ht="38.4" customHeight="1" x14ac:dyDescent="0.25">
      <c r="A356" s="104">
        <f t="shared" si="4"/>
        <v>216</v>
      </c>
      <c r="B356" s="212"/>
      <c r="C356" s="148" t="s">
        <v>378</v>
      </c>
      <c r="D356" s="148" t="s">
        <v>323</v>
      </c>
      <c r="E356" s="148" t="s">
        <v>12</v>
      </c>
      <c r="F356" s="105">
        <v>7557.73</v>
      </c>
      <c r="G356" s="105">
        <v>0</v>
      </c>
      <c r="H356" s="105">
        <v>7557.73</v>
      </c>
      <c r="I356" s="105">
        <v>0</v>
      </c>
      <c r="J356" s="105">
        <v>0</v>
      </c>
      <c r="K356" s="148" t="s">
        <v>316</v>
      </c>
    </row>
    <row r="357" spans="1:11" s="48" customFormat="1" ht="38.4" customHeight="1" x14ac:dyDescent="0.25">
      <c r="A357" s="104">
        <f t="shared" si="4"/>
        <v>217</v>
      </c>
      <c r="B357" s="212"/>
      <c r="C357" s="148" t="s">
        <v>379</v>
      </c>
      <c r="D357" s="148" t="s">
        <v>323</v>
      </c>
      <c r="E357" s="148" t="s">
        <v>12</v>
      </c>
      <c r="F357" s="105">
        <v>7557.73</v>
      </c>
      <c r="G357" s="105">
        <v>0</v>
      </c>
      <c r="H357" s="105">
        <v>0</v>
      </c>
      <c r="I357" s="105">
        <v>7557.73</v>
      </c>
      <c r="J357" s="105">
        <v>0</v>
      </c>
      <c r="K357" s="148" t="s">
        <v>359</v>
      </c>
    </row>
    <row r="358" spans="1:11" s="47" customFormat="1" ht="13.2" customHeight="1" x14ac:dyDescent="0.3">
      <c r="A358" s="213" t="s">
        <v>57</v>
      </c>
      <c r="B358" s="213"/>
      <c r="C358" s="213"/>
      <c r="D358" s="213"/>
      <c r="E358" s="147"/>
      <c r="F358" s="106"/>
      <c r="G358" s="107">
        <f>SUM(G347:G357)</f>
        <v>16608.824999999997</v>
      </c>
      <c r="H358" s="107"/>
      <c r="I358" s="107"/>
      <c r="J358" s="107"/>
      <c r="K358" s="147"/>
    </row>
    <row r="359" spans="1:11" s="49" customFormat="1" ht="16.95" customHeight="1" x14ac:dyDescent="0.3">
      <c r="A359" s="214" t="s">
        <v>62</v>
      </c>
      <c r="B359" s="215"/>
      <c r="C359" s="215"/>
      <c r="D359" s="215"/>
      <c r="E359" s="147"/>
      <c r="F359" s="106"/>
      <c r="G359" s="106"/>
      <c r="H359" s="107">
        <f>SUM(H347:H358)</f>
        <v>7557.73</v>
      </c>
      <c r="I359" s="107"/>
      <c r="J359" s="107"/>
      <c r="K359" s="147"/>
    </row>
    <row r="360" spans="1:11" s="49" customFormat="1" ht="16.95" customHeight="1" x14ac:dyDescent="0.3">
      <c r="A360" s="214" t="s">
        <v>19</v>
      </c>
      <c r="B360" s="215"/>
      <c r="C360" s="215"/>
      <c r="D360" s="215"/>
      <c r="E360" s="147"/>
      <c r="F360" s="106"/>
      <c r="G360" s="106"/>
      <c r="H360" s="107"/>
      <c r="I360" s="107">
        <f>SUM(I347:I357)</f>
        <v>7557.73</v>
      </c>
      <c r="J360" s="107"/>
      <c r="K360" s="147"/>
    </row>
    <row r="361" spans="1:11" s="48" customFormat="1" ht="40.200000000000003" customHeight="1" x14ac:dyDescent="0.25">
      <c r="A361" s="104">
        <v>218</v>
      </c>
      <c r="B361" s="212" t="s">
        <v>380</v>
      </c>
      <c r="C361" s="148" t="s">
        <v>381</v>
      </c>
      <c r="D361" s="148" t="s">
        <v>382</v>
      </c>
      <c r="E361" s="148" t="s">
        <v>12</v>
      </c>
      <c r="F361" s="105">
        <v>9416.6111700000001</v>
      </c>
      <c r="G361" s="105">
        <v>9416.6111700000001</v>
      </c>
      <c r="H361" s="105">
        <v>0</v>
      </c>
      <c r="I361" s="105">
        <v>0</v>
      </c>
      <c r="J361" s="105">
        <v>0</v>
      </c>
      <c r="K361" s="148" t="s">
        <v>72</v>
      </c>
    </row>
    <row r="362" spans="1:11" s="48" customFormat="1" ht="40.200000000000003" customHeight="1" x14ac:dyDescent="0.25">
      <c r="A362" s="104">
        <f>A361+1</f>
        <v>219</v>
      </c>
      <c r="B362" s="212"/>
      <c r="C362" s="148" t="s">
        <v>383</v>
      </c>
      <c r="D362" s="148" t="s">
        <v>286</v>
      </c>
      <c r="E362" s="148" t="s">
        <v>12</v>
      </c>
      <c r="F362" s="105">
        <v>2174.5650000000001</v>
      </c>
      <c r="G362" s="105">
        <v>2174.5650000000001</v>
      </c>
      <c r="H362" s="105">
        <v>0</v>
      </c>
      <c r="I362" s="105">
        <v>0</v>
      </c>
      <c r="J362" s="105">
        <v>0</v>
      </c>
      <c r="K362" s="148" t="s">
        <v>72</v>
      </c>
    </row>
    <row r="363" spans="1:11" s="48" customFormat="1" ht="40.200000000000003" customHeight="1" x14ac:dyDescent="0.25">
      <c r="A363" s="104">
        <f t="shared" ref="A363:A372" si="5">A362+1</f>
        <v>220</v>
      </c>
      <c r="B363" s="212"/>
      <c r="C363" s="148" t="s">
        <v>384</v>
      </c>
      <c r="D363" s="148" t="s">
        <v>385</v>
      </c>
      <c r="E363" s="148" t="s">
        <v>12</v>
      </c>
      <c r="F363" s="105">
        <v>200</v>
      </c>
      <c r="G363" s="105">
        <v>200</v>
      </c>
      <c r="H363" s="105">
        <v>0</v>
      </c>
      <c r="I363" s="105">
        <v>0</v>
      </c>
      <c r="J363" s="105">
        <v>0</v>
      </c>
      <c r="K363" s="148" t="s">
        <v>72</v>
      </c>
    </row>
    <row r="364" spans="1:11" s="48" customFormat="1" ht="40.200000000000003" customHeight="1" x14ac:dyDescent="0.25">
      <c r="A364" s="104">
        <f t="shared" si="5"/>
        <v>221</v>
      </c>
      <c r="B364" s="212"/>
      <c r="C364" s="148" t="s">
        <v>386</v>
      </c>
      <c r="D364" s="148" t="s">
        <v>91</v>
      </c>
      <c r="E364" s="148" t="s">
        <v>12</v>
      </c>
      <c r="F364" s="105">
        <v>186</v>
      </c>
      <c r="G364" s="105">
        <v>186</v>
      </c>
      <c r="H364" s="105">
        <v>0</v>
      </c>
      <c r="I364" s="105">
        <v>0</v>
      </c>
      <c r="J364" s="105">
        <v>0</v>
      </c>
      <c r="K364" s="148" t="s">
        <v>72</v>
      </c>
    </row>
    <row r="365" spans="1:11" s="48" customFormat="1" ht="40.200000000000003" customHeight="1" x14ac:dyDescent="0.25">
      <c r="A365" s="104">
        <f t="shared" si="5"/>
        <v>222</v>
      </c>
      <c r="B365" s="212"/>
      <c r="C365" s="148" t="s">
        <v>387</v>
      </c>
      <c r="D365" s="148" t="s">
        <v>286</v>
      </c>
      <c r="E365" s="148" t="s">
        <v>12</v>
      </c>
      <c r="F365" s="105">
        <v>252.75</v>
      </c>
      <c r="G365" s="105">
        <v>252.75</v>
      </c>
      <c r="H365" s="105">
        <v>0</v>
      </c>
      <c r="I365" s="105">
        <v>0</v>
      </c>
      <c r="J365" s="105">
        <v>0</v>
      </c>
      <c r="K365" s="148" t="s">
        <v>72</v>
      </c>
    </row>
    <row r="366" spans="1:11" s="48" customFormat="1" ht="40.200000000000003" customHeight="1" x14ac:dyDescent="0.25">
      <c r="A366" s="104">
        <f t="shared" si="5"/>
        <v>223</v>
      </c>
      <c r="B366" s="212"/>
      <c r="C366" s="148" t="s">
        <v>388</v>
      </c>
      <c r="D366" s="148" t="s">
        <v>286</v>
      </c>
      <c r="E366" s="148" t="s">
        <v>12</v>
      </c>
      <c r="F366" s="105">
        <v>643.54</v>
      </c>
      <c r="G366" s="105">
        <v>643.54</v>
      </c>
      <c r="H366" s="105">
        <v>0</v>
      </c>
      <c r="I366" s="105">
        <v>0</v>
      </c>
      <c r="J366" s="105">
        <v>0</v>
      </c>
      <c r="K366" s="148" t="s">
        <v>72</v>
      </c>
    </row>
    <row r="367" spans="1:11" s="48" customFormat="1" ht="40.200000000000003" customHeight="1" x14ac:dyDescent="0.25">
      <c r="A367" s="104">
        <f t="shared" si="5"/>
        <v>224</v>
      </c>
      <c r="B367" s="212"/>
      <c r="C367" s="148" t="s">
        <v>389</v>
      </c>
      <c r="D367" s="148" t="s">
        <v>323</v>
      </c>
      <c r="E367" s="148" t="s">
        <v>12</v>
      </c>
      <c r="F367" s="105">
        <v>9749.4850000000006</v>
      </c>
      <c r="G367" s="105">
        <v>9749.4850000000006</v>
      </c>
      <c r="H367" s="105">
        <v>0</v>
      </c>
      <c r="I367" s="105">
        <v>0</v>
      </c>
      <c r="J367" s="105">
        <v>0</v>
      </c>
      <c r="K367" s="148" t="s">
        <v>72</v>
      </c>
    </row>
    <row r="368" spans="1:11" s="48" customFormat="1" ht="40.200000000000003" customHeight="1" x14ac:dyDescent="0.25">
      <c r="A368" s="104">
        <f t="shared" si="5"/>
        <v>225</v>
      </c>
      <c r="B368" s="212"/>
      <c r="C368" s="148" t="s">
        <v>390</v>
      </c>
      <c r="D368" s="148" t="s">
        <v>323</v>
      </c>
      <c r="E368" s="148" t="s">
        <v>12</v>
      </c>
      <c r="F368" s="105">
        <v>4720.2397000000001</v>
      </c>
      <c r="G368" s="105">
        <v>4720.2397000000001</v>
      </c>
      <c r="H368" s="105">
        <v>0</v>
      </c>
      <c r="I368" s="105">
        <v>0</v>
      </c>
      <c r="J368" s="105">
        <v>0</v>
      </c>
      <c r="K368" s="148" t="s">
        <v>72</v>
      </c>
    </row>
    <row r="369" spans="1:11" s="48" customFormat="1" ht="34.799999999999997" customHeight="1" x14ac:dyDescent="0.25">
      <c r="A369" s="104">
        <f t="shared" si="5"/>
        <v>226</v>
      </c>
      <c r="B369" s="212"/>
      <c r="C369" s="148" t="s">
        <v>391</v>
      </c>
      <c r="D369" s="148" t="s">
        <v>286</v>
      </c>
      <c r="E369" s="148" t="s">
        <v>12</v>
      </c>
      <c r="F369" s="105">
        <v>208.84</v>
      </c>
      <c r="G369" s="105">
        <v>208.84</v>
      </c>
      <c r="H369" s="105">
        <v>0</v>
      </c>
      <c r="I369" s="105">
        <v>0</v>
      </c>
      <c r="J369" s="105">
        <v>0</v>
      </c>
      <c r="K369" s="148" t="s">
        <v>72</v>
      </c>
    </row>
    <row r="370" spans="1:11" s="48" customFormat="1" ht="34.799999999999997" customHeight="1" x14ac:dyDescent="0.25">
      <c r="A370" s="104">
        <f t="shared" si="5"/>
        <v>227</v>
      </c>
      <c r="B370" s="212"/>
      <c r="C370" s="148" t="s">
        <v>392</v>
      </c>
      <c r="D370" s="148" t="s">
        <v>91</v>
      </c>
      <c r="E370" s="148" t="s">
        <v>12</v>
      </c>
      <c r="F370" s="105">
        <v>186</v>
      </c>
      <c r="G370" s="105">
        <v>186</v>
      </c>
      <c r="H370" s="105">
        <v>0</v>
      </c>
      <c r="I370" s="105">
        <v>0</v>
      </c>
      <c r="J370" s="105">
        <v>0</v>
      </c>
      <c r="K370" s="148" t="s">
        <v>72</v>
      </c>
    </row>
    <row r="371" spans="1:11" s="48" customFormat="1" ht="34.799999999999997" customHeight="1" x14ac:dyDescent="0.25">
      <c r="A371" s="104">
        <f t="shared" si="5"/>
        <v>228</v>
      </c>
      <c r="B371" s="212"/>
      <c r="C371" s="148" t="s">
        <v>393</v>
      </c>
      <c r="D371" s="148" t="s">
        <v>394</v>
      </c>
      <c r="E371" s="148" t="s">
        <v>12</v>
      </c>
      <c r="F371" s="105">
        <v>9416.6111700000001</v>
      </c>
      <c r="G371" s="105">
        <v>0</v>
      </c>
      <c r="H371" s="105">
        <v>9416.6111700000001</v>
      </c>
      <c r="I371" s="105">
        <v>0</v>
      </c>
      <c r="J371" s="105">
        <v>0</v>
      </c>
      <c r="K371" s="148" t="s">
        <v>282</v>
      </c>
    </row>
    <row r="372" spans="1:11" s="48" customFormat="1" ht="34.799999999999997" customHeight="1" x14ac:dyDescent="0.25">
      <c r="A372" s="104">
        <f t="shared" si="5"/>
        <v>229</v>
      </c>
      <c r="B372" s="212"/>
      <c r="C372" s="148" t="s">
        <v>395</v>
      </c>
      <c r="D372" s="148" t="s">
        <v>91</v>
      </c>
      <c r="E372" s="148" t="s">
        <v>12</v>
      </c>
      <c r="F372" s="105">
        <v>3381.6844999999998</v>
      </c>
      <c r="G372" s="105">
        <v>0</v>
      </c>
      <c r="H372" s="105">
        <v>3381.6844999999998</v>
      </c>
      <c r="I372" s="105">
        <v>0</v>
      </c>
      <c r="J372" s="105">
        <v>0</v>
      </c>
      <c r="K372" s="148" t="s">
        <v>282</v>
      </c>
    </row>
    <row r="373" spans="1:11" s="47" customFormat="1" ht="12.6" customHeight="1" x14ac:dyDescent="0.3">
      <c r="A373" s="213" t="s">
        <v>57</v>
      </c>
      <c r="B373" s="213"/>
      <c r="C373" s="213"/>
      <c r="D373" s="213"/>
      <c r="E373" s="147"/>
      <c r="F373" s="106"/>
      <c r="G373" s="107">
        <f>SUM(G361:G372)</f>
        <v>27738.030869999999</v>
      </c>
      <c r="H373" s="107"/>
      <c r="I373" s="107"/>
      <c r="J373" s="107"/>
      <c r="K373" s="147"/>
    </row>
    <row r="374" spans="1:11" s="49" customFormat="1" ht="18.600000000000001" customHeight="1" x14ac:dyDescent="0.3">
      <c r="A374" s="214" t="s">
        <v>62</v>
      </c>
      <c r="B374" s="215"/>
      <c r="C374" s="215"/>
      <c r="D374" s="215"/>
      <c r="E374" s="147"/>
      <c r="F374" s="106"/>
      <c r="G374" s="106"/>
      <c r="H374" s="107">
        <f>SUM(H361:H372)</f>
        <v>12798.29567</v>
      </c>
      <c r="I374" s="107"/>
      <c r="J374" s="107"/>
      <c r="K374" s="147"/>
    </row>
    <row r="375" spans="1:11" s="49" customFormat="1" ht="14.4" customHeight="1" x14ac:dyDescent="0.3">
      <c r="A375" s="214" t="s">
        <v>19</v>
      </c>
      <c r="B375" s="215"/>
      <c r="C375" s="215"/>
      <c r="D375" s="215"/>
      <c r="E375" s="147"/>
      <c r="F375" s="106"/>
      <c r="G375" s="106"/>
      <c r="H375" s="107"/>
      <c r="I375" s="107">
        <f>SUM(I361:I372)</f>
        <v>0</v>
      </c>
      <c r="J375" s="107"/>
      <c r="K375" s="147"/>
    </row>
    <row r="376" spans="1:11" s="46" customFormat="1" ht="34.799999999999997" customHeight="1" x14ac:dyDescent="0.3">
      <c r="A376" s="104">
        <v>230</v>
      </c>
      <c r="B376" s="209" t="s">
        <v>396</v>
      </c>
      <c r="C376" s="148" t="s">
        <v>397</v>
      </c>
      <c r="D376" s="148" t="s">
        <v>243</v>
      </c>
      <c r="E376" s="146" t="s">
        <v>12</v>
      </c>
      <c r="F376" s="105">
        <v>1577.20847</v>
      </c>
      <c r="G376" s="105">
        <v>1577.20847</v>
      </c>
      <c r="H376" s="105">
        <v>0</v>
      </c>
      <c r="I376" s="105">
        <v>0</v>
      </c>
      <c r="J376" s="105">
        <v>0</v>
      </c>
      <c r="K376" s="148" t="s">
        <v>72</v>
      </c>
    </row>
    <row r="377" spans="1:11" s="46" customFormat="1" ht="34.799999999999997" customHeight="1" x14ac:dyDescent="0.3">
      <c r="A377" s="104">
        <f>A376+1</f>
        <v>231</v>
      </c>
      <c r="B377" s="209"/>
      <c r="C377" s="148" t="s">
        <v>398</v>
      </c>
      <c r="D377" s="148" t="s">
        <v>399</v>
      </c>
      <c r="E377" s="146" t="s">
        <v>12</v>
      </c>
      <c r="F377" s="105">
        <v>1534.38076</v>
      </c>
      <c r="G377" s="105">
        <v>1534.38076</v>
      </c>
      <c r="H377" s="105">
        <v>0</v>
      </c>
      <c r="I377" s="105">
        <v>0</v>
      </c>
      <c r="J377" s="105">
        <v>0</v>
      </c>
      <c r="K377" s="148" t="s">
        <v>72</v>
      </c>
    </row>
    <row r="378" spans="1:11" s="46" customFormat="1" ht="34.799999999999997" customHeight="1" x14ac:dyDescent="0.3">
      <c r="A378" s="104">
        <f t="shared" ref="A378:A391" si="6">A377+1</f>
        <v>232</v>
      </c>
      <c r="B378" s="209"/>
      <c r="C378" s="148" t="s">
        <v>400</v>
      </c>
      <c r="D378" s="148" t="s">
        <v>401</v>
      </c>
      <c r="E378" s="146" t="s">
        <v>12</v>
      </c>
      <c r="F378" s="105">
        <v>6220.6350000000002</v>
      </c>
      <c r="G378" s="105">
        <v>6220.6350000000002</v>
      </c>
      <c r="H378" s="105">
        <v>0</v>
      </c>
      <c r="I378" s="105">
        <v>0</v>
      </c>
      <c r="J378" s="105">
        <v>0</v>
      </c>
      <c r="K378" s="148" t="s">
        <v>72</v>
      </c>
    </row>
    <row r="379" spans="1:11" s="46" customFormat="1" ht="34.799999999999997" customHeight="1" x14ac:dyDescent="0.3">
      <c r="A379" s="104">
        <f t="shared" si="6"/>
        <v>233</v>
      </c>
      <c r="B379" s="209"/>
      <c r="C379" s="148" t="s">
        <v>402</v>
      </c>
      <c r="D379" s="148" t="s">
        <v>403</v>
      </c>
      <c r="E379" s="146" t="s">
        <v>12</v>
      </c>
      <c r="F379" s="105">
        <v>353.57</v>
      </c>
      <c r="G379" s="105">
        <v>353.57</v>
      </c>
      <c r="H379" s="105">
        <v>0</v>
      </c>
      <c r="I379" s="105">
        <v>0</v>
      </c>
      <c r="J379" s="105">
        <v>0</v>
      </c>
      <c r="K379" s="148" t="s">
        <v>72</v>
      </c>
    </row>
    <row r="380" spans="1:11" s="46" customFormat="1" ht="34.799999999999997" customHeight="1" x14ac:dyDescent="0.3">
      <c r="A380" s="104">
        <f t="shared" si="6"/>
        <v>234</v>
      </c>
      <c r="B380" s="209"/>
      <c r="C380" s="148" t="s">
        <v>404</v>
      </c>
      <c r="D380" s="148" t="s">
        <v>405</v>
      </c>
      <c r="E380" s="146" t="s">
        <v>12</v>
      </c>
      <c r="F380" s="105">
        <v>412</v>
      </c>
      <c r="G380" s="105">
        <v>412</v>
      </c>
      <c r="H380" s="105">
        <v>0</v>
      </c>
      <c r="I380" s="105">
        <v>0</v>
      </c>
      <c r="J380" s="105">
        <v>0</v>
      </c>
      <c r="K380" s="148" t="s">
        <v>72</v>
      </c>
    </row>
    <row r="381" spans="1:11" s="46" customFormat="1" ht="60" customHeight="1" x14ac:dyDescent="0.3">
      <c r="A381" s="104">
        <f t="shared" si="6"/>
        <v>235</v>
      </c>
      <c r="B381" s="209"/>
      <c r="C381" s="148" t="s">
        <v>406</v>
      </c>
      <c r="D381" s="148" t="s">
        <v>407</v>
      </c>
      <c r="E381" s="146" t="s">
        <v>12</v>
      </c>
      <c r="F381" s="105">
        <v>2018.2715900000001</v>
      </c>
      <c r="G381" s="105">
        <v>2018.2715900000001</v>
      </c>
      <c r="H381" s="105">
        <v>0</v>
      </c>
      <c r="I381" s="105">
        <v>0</v>
      </c>
      <c r="J381" s="105">
        <v>0</v>
      </c>
      <c r="K381" s="148" t="s">
        <v>72</v>
      </c>
    </row>
    <row r="382" spans="1:11" s="46" customFormat="1" ht="60" customHeight="1" x14ac:dyDescent="0.3">
      <c r="A382" s="104">
        <f t="shared" si="6"/>
        <v>236</v>
      </c>
      <c r="B382" s="209"/>
      <c r="C382" s="148" t="s">
        <v>408</v>
      </c>
      <c r="D382" s="148" t="s">
        <v>409</v>
      </c>
      <c r="E382" s="146" t="s">
        <v>12</v>
      </c>
      <c r="F382" s="105">
        <v>1008.85</v>
      </c>
      <c r="G382" s="105">
        <v>1008.85</v>
      </c>
      <c r="H382" s="105">
        <v>0</v>
      </c>
      <c r="I382" s="105">
        <v>0</v>
      </c>
      <c r="J382" s="105">
        <v>0</v>
      </c>
      <c r="K382" s="148" t="s">
        <v>72</v>
      </c>
    </row>
    <row r="383" spans="1:11" s="46" customFormat="1" ht="60" customHeight="1" x14ac:dyDescent="0.3">
      <c r="A383" s="104">
        <f t="shared" si="6"/>
        <v>237</v>
      </c>
      <c r="B383" s="209"/>
      <c r="C383" s="148" t="s">
        <v>410</v>
      </c>
      <c r="D383" s="148" t="s">
        <v>411</v>
      </c>
      <c r="E383" s="146" t="s">
        <v>12</v>
      </c>
      <c r="F383" s="105">
        <v>3137.30233</v>
      </c>
      <c r="G383" s="105">
        <v>3137.30233</v>
      </c>
      <c r="H383" s="105">
        <v>0</v>
      </c>
      <c r="I383" s="105">
        <v>0</v>
      </c>
      <c r="J383" s="105">
        <v>0</v>
      </c>
      <c r="K383" s="148" t="s">
        <v>72</v>
      </c>
    </row>
    <row r="384" spans="1:11" s="46" customFormat="1" ht="60" customHeight="1" x14ac:dyDescent="0.3">
      <c r="A384" s="104">
        <f t="shared" si="6"/>
        <v>238</v>
      </c>
      <c r="B384" s="209"/>
      <c r="C384" s="148" t="s">
        <v>412</v>
      </c>
      <c r="D384" s="148" t="s">
        <v>413</v>
      </c>
      <c r="E384" s="146" t="s">
        <v>12</v>
      </c>
      <c r="F384" s="105">
        <v>7862.6976699999996</v>
      </c>
      <c r="G384" s="105">
        <v>7862.6976699999996</v>
      </c>
      <c r="H384" s="105">
        <v>0</v>
      </c>
      <c r="I384" s="105">
        <v>0</v>
      </c>
      <c r="J384" s="105">
        <v>0</v>
      </c>
      <c r="K384" s="148" t="s">
        <v>72</v>
      </c>
    </row>
    <row r="385" spans="1:11" s="46" customFormat="1" ht="60" customHeight="1" x14ac:dyDescent="0.3">
      <c r="A385" s="104">
        <f t="shared" si="6"/>
        <v>239</v>
      </c>
      <c r="B385" s="209"/>
      <c r="C385" s="148" t="s">
        <v>414</v>
      </c>
      <c r="D385" s="148" t="s">
        <v>93</v>
      </c>
      <c r="E385" s="146" t="s">
        <v>12</v>
      </c>
      <c r="F385" s="105">
        <v>880</v>
      </c>
      <c r="G385" s="105">
        <v>880</v>
      </c>
      <c r="H385" s="105">
        <v>0</v>
      </c>
      <c r="I385" s="105">
        <v>0</v>
      </c>
      <c r="J385" s="105">
        <v>0</v>
      </c>
      <c r="K385" s="148" t="s">
        <v>72</v>
      </c>
    </row>
    <row r="386" spans="1:11" s="46" customFormat="1" ht="34.799999999999997" customHeight="1" x14ac:dyDescent="0.3">
      <c r="A386" s="104">
        <f t="shared" si="6"/>
        <v>240</v>
      </c>
      <c r="B386" s="209"/>
      <c r="C386" s="148" t="s">
        <v>415</v>
      </c>
      <c r="D386" s="148" t="s">
        <v>243</v>
      </c>
      <c r="E386" s="146" t="s">
        <v>12</v>
      </c>
      <c r="F386" s="105">
        <v>9859.6280000000006</v>
      </c>
      <c r="G386" s="105">
        <v>0</v>
      </c>
      <c r="H386" s="105">
        <v>9859.6280000000006</v>
      </c>
      <c r="I386" s="105">
        <v>0</v>
      </c>
      <c r="J386" s="105">
        <v>0</v>
      </c>
      <c r="K386" s="148" t="s">
        <v>316</v>
      </c>
    </row>
    <row r="387" spans="1:11" s="46" customFormat="1" ht="34.799999999999997" customHeight="1" x14ac:dyDescent="0.3">
      <c r="A387" s="104">
        <f t="shared" si="6"/>
        <v>241</v>
      </c>
      <c r="B387" s="209"/>
      <c r="C387" s="148" t="s">
        <v>416</v>
      </c>
      <c r="D387" s="148" t="s">
        <v>243</v>
      </c>
      <c r="E387" s="146" t="s">
        <v>12</v>
      </c>
      <c r="F387" s="105">
        <v>1549.6</v>
      </c>
      <c r="G387" s="105">
        <v>0</v>
      </c>
      <c r="H387" s="105">
        <v>1549.6</v>
      </c>
      <c r="I387" s="105">
        <v>0</v>
      </c>
      <c r="J387" s="105">
        <v>0</v>
      </c>
      <c r="K387" s="148" t="s">
        <v>316</v>
      </c>
    </row>
    <row r="388" spans="1:11" s="46" customFormat="1" ht="34.799999999999997" customHeight="1" x14ac:dyDescent="0.3">
      <c r="A388" s="104">
        <f t="shared" si="6"/>
        <v>242</v>
      </c>
      <c r="B388" s="209"/>
      <c r="C388" s="148" t="s">
        <v>417</v>
      </c>
      <c r="D388" s="148" t="s">
        <v>407</v>
      </c>
      <c r="E388" s="146" t="s">
        <v>12</v>
      </c>
      <c r="F388" s="105">
        <v>4106.1491500000002</v>
      </c>
      <c r="G388" s="105">
        <v>0</v>
      </c>
      <c r="H388" s="105">
        <v>4106.1491500000002</v>
      </c>
      <c r="I388" s="105">
        <v>0</v>
      </c>
      <c r="J388" s="105">
        <v>0</v>
      </c>
      <c r="K388" s="148" t="s">
        <v>282</v>
      </c>
    </row>
    <row r="389" spans="1:11" s="46" customFormat="1" ht="34.799999999999997" customHeight="1" x14ac:dyDescent="0.3">
      <c r="A389" s="104">
        <f t="shared" si="6"/>
        <v>243</v>
      </c>
      <c r="B389" s="209"/>
      <c r="C389" s="148" t="s">
        <v>418</v>
      </c>
      <c r="D389" s="148" t="s">
        <v>243</v>
      </c>
      <c r="E389" s="146" t="s">
        <v>12</v>
      </c>
      <c r="F389" s="105">
        <v>9859.6280000000006</v>
      </c>
      <c r="G389" s="105">
        <v>0</v>
      </c>
      <c r="H389" s="105">
        <v>0</v>
      </c>
      <c r="I389" s="105">
        <v>9859.6280000000006</v>
      </c>
      <c r="J389" s="105">
        <v>0</v>
      </c>
      <c r="K389" s="148" t="s">
        <v>359</v>
      </c>
    </row>
    <row r="390" spans="1:11" s="46" customFormat="1" ht="34.799999999999997" customHeight="1" x14ac:dyDescent="0.3">
      <c r="A390" s="104">
        <f t="shared" si="6"/>
        <v>244</v>
      </c>
      <c r="B390" s="209"/>
      <c r="C390" s="148" t="s">
        <v>419</v>
      </c>
      <c r="D390" s="148" t="s">
        <v>407</v>
      </c>
      <c r="E390" s="146" t="s">
        <v>12</v>
      </c>
      <c r="F390" s="105">
        <v>4106.1491500000002</v>
      </c>
      <c r="G390" s="105">
        <v>0</v>
      </c>
      <c r="H390" s="105">
        <v>0</v>
      </c>
      <c r="I390" s="105">
        <v>4106.1491500000002</v>
      </c>
      <c r="J390" s="105">
        <v>0</v>
      </c>
      <c r="K390" s="148" t="s">
        <v>318</v>
      </c>
    </row>
    <row r="391" spans="1:11" s="46" customFormat="1" ht="34.799999999999997" customHeight="1" x14ac:dyDescent="0.3">
      <c r="A391" s="104">
        <f t="shared" si="6"/>
        <v>245</v>
      </c>
      <c r="B391" s="209"/>
      <c r="C391" s="148" t="s">
        <v>420</v>
      </c>
      <c r="D391" s="148" t="s">
        <v>243</v>
      </c>
      <c r="E391" s="146" t="s">
        <v>12</v>
      </c>
      <c r="F391" s="105">
        <v>1549.6</v>
      </c>
      <c r="G391" s="105">
        <v>0</v>
      </c>
      <c r="H391" s="105">
        <v>0</v>
      </c>
      <c r="I391" s="105">
        <v>1549.6</v>
      </c>
      <c r="J391" s="105">
        <v>0</v>
      </c>
      <c r="K391" s="148" t="s">
        <v>359</v>
      </c>
    </row>
    <row r="392" spans="1:11" s="47" customFormat="1" ht="16.95" customHeight="1" x14ac:dyDescent="0.3">
      <c r="A392" s="213" t="s">
        <v>57</v>
      </c>
      <c r="B392" s="213"/>
      <c r="C392" s="213"/>
      <c r="D392" s="213"/>
      <c r="E392" s="147"/>
      <c r="F392" s="106"/>
      <c r="G392" s="107">
        <f>SUM(G376:G391)</f>
        <v>25004.915820000002</v>
      </c>
      <c r="H392" s="107"/>
      <c r="I392" s="107"/>
      <c r="J392" s="107"/>
      <c r="K392" s="147"/>
    </row>
    <row r="393" spans="1:11" s="49" customFormat="1" ht="16.2" customHeight="1" x14ac:dyDescent="0.3">
      <c r="A393" s="214" t="s">
        <v>62</v>
      </c>
      <c r="B393" s="215"/>
      <c r="C393" s="215"/>
      <c r="D393" s="215"/>
      <c r="E393" s="147"/>
      <c r="F393" s="106"/>
      <c r="G393" s="106"/>
      <c r="H393" s="107">
        <f>SUM(H376:H391)</f>
        <v>15515.37715</v>
      </c>
      <c r="I393" s="107"/>
      <c r="J393" s="107"/>
      <c r="K393" s="147"/>
    </row>
    <row r="394" spans="1:11" s="49" customFormat="1" ht="16.95" customHeight="1" x14ac:dyDescent="0.3">
      <c r="A394" s="214" t="s">
        <v>19</v>
      </c>
      <c r="B394" s="215"/>
      <c r="C394" s="215"/>
      <c r="D394" s="215"/>
      <c r="E394" s="147"/>
      <c r="F394" s="106"/>
      <c r="G394" s="106"/>
      <c r="H394" s="107"/>
      <c r="I394" s="107">
        <f>SUM(I376:I391)</f>
        <v>15515.377150000002</v>
      </c>
      <c r="J394" s="107"/>
      <c r="K394" s="147"/>
    </row>
    <row r="395" spans="1:11" s="50" customFormat="1" ht="35.4" customHeight="1" x14ac:dyDescent="0.25">
      <c r="A395" s="104">
        <v>246</v>
      </c>
      <c r="B395" s="212" t="s">
        <v>421</v>
      </c>
      <c r="C395" s="148" t="s">
        <v>422</v>
      </c>
      <c r="D395" s="148" t="s">
        <v>423</v>
      </c>
      <c r="E395" s="148" t="s">
        <v>12</v>
      </c>
      <c r="F395" s="105">
        <v>1243.366</v>
      </c>
      <c r="G395" s="105">
        <f>1243366/1000</f>
        <v>1243.366</v>
      </c>
      <c r="H395" s="105">
        <v>0</v>
      </c>
      <c r="I395" s="105">
        <v>0</v>
      </c>
      <c r="J395" s="105">
        <v>0</v>
      </c>
      <c r="K395" s="148" t="s">
        <v>76</v>
      </c>
    </row>
    <row r="396" spans="1:11" s="50" customFormat="1" ht="39" customHeight="1" x14ac:dyDescent="0.25">
      <c r="A396" s="104">
        <f>A395+1</f>
        <v>247</v>
      </c>
      <c r="B396" s="212"/>
      <c r="C396" s="148" t="s">
        <v>424</v>
      </c>
      <c r="D396" s="148" t="s">
        <v>425</v>
      </c>
      <c r="E396" s="148" t="s">
        <v>12</v>
      </c>
      <c r="F396" s="105">
        <v>4430.5</v>
      </c>
      <c r="G396" s="105">
        <v>4430.5</v>
      </c>
      <c r="H396" s="105">
        <v>0</v>
      </c>
      <c r="I396" s="105">
        <v>0</v>
      </c>
      <c r="J396" s="105">
        <v>0</v>
      </c>
      <c r="K396" s="148" t="s">
        <v>76</v>
      </c>
    </row>
    <row r="397" spans="1:11" s="50" customFormat="1" ht="81" customHeight="1" x14ac:dyDescent="0.25">
      <c r="A397" s="104">
        <f t="shared" ref="A397:A419" si="7">A396+1</f>
        <v>248</v>
      </c>
      <c r="B397" s="212"/>
      <c r="C397" s="148" t="s">
        <v>426</v>
      </c>
      <c r="D397" s="148" t="s">
        <v>141</v>
      </c>
      <c r="E397" s="148" t="s">
        <v>12</v>
      </c>
      <c r="F397" s="105">
        <v>1240</v>
      </c>
      <c r="G397" s="105">
        <v>1240</v>
      </c>
      <c r="H397" s="105">
        <v>0</v>
      </c>
      <c r="I397" s="105">
        <v>0</v>
      </c>
      <c r="J397" s="105">
        <v>0</v>
      </c>
      <c r="K397" s="148" t="s">
        <v>76</v>
      </c>
    </row>
    <row r="398" spans="1:11" s="50" customFormat="1" ht="28.95" customHeight="1" x14ac:dyDescent="0.25">
      <c r="A398" s="104">
        <f t="shared" si="7"/>
        <v>249</v>
      </c>
      <c r="B398" s="212"/>
      <c r="C398" s="148" t="s">
        <v>427</v>
      </c>
      <c r="D398" s="148" t="s">
        <v>428</v>
      </c>
      <c r="E398" s="148" t="s">
        <v>12</v>
      </c>
      <c r="F398" s="105">
        <v>19999.474999999999</v>
      </c>
      <c r="G398" s="105">
        <v>19999.474999999999</v>
      </c>
      <c r="H398" s="105">
        <v>0</v>
      </c>
      <c r="I398" s="105">
        <v>0</v>
      </c>
      <c r="J398" s="105">
        <v>0</v>
      </c>
      <c r="K398" s="148" t="s">
        <v>76</v>
      </c>
    </row>
    <row r="399" spans="1:11" s="50" customFormat="1" ht="42.6" customHeight="1" x14ac:dyDescent="0.25">
      <c r="A399" s="104">
        <f t="shared" si="7"/>
        <v>250</v>
      </c>
      <c r="B399" s="212"/>
      <c r="C399" s="148" t="s">
        <v>429</v>
      </c>
      <c r="D399" s="148" t="s">
        <v>430</v>
      </c>
      <c r="E399" s="148" t="s">
        <v>12</v>
      </c>
      <c r="F399" s="105">
        <v>3141.4609999999998</v>
      </c>
      <c r="G399" s="105">
        <v>3141.4609999999998</v>
      </c>
      <c r="H399" s="105">
        <v>0</v>
      </c>
      <c r="I399" s="105">
        <v>0</v>
      </c>
      <c r="J399" s="105">
        <v>0</v>
      </c>
      <c r="K399" s="148" t="s">
        <v>76</v>
      </c>
    </row>
    <row r="400" spans="1:11" s="50" customFormat="1" ht="39.6" customHeight="1" x14ac:dyDescent="0.25">
      <c r="A400" s="104">
        <f t="shared" si="7"/>
        <v>251</v>
      </c>
      <c r="B400" s="212"/>
      <c r="C400" s="148" t="s">
        <v>431</v>
      </c>
      <c r="D400" s="148" t="s">
        <v>286</v>
      </c>
      <c r="E400" s="148" t="s">
        <v>12</v>
      </c>
      <c r="F400" s="105">
        <v>2500</v>
      </c>
      <c r="G400" s="105">
        <v>2500</v>
      </c>
      <c r="H400" s="105">
        <v>0</v>
      </c>
      <c r="I400" s="105">
        <v>0</v>
      </c>
      <c r="J400" s="105">
        <v>0</v>
      </c>
      <c r="K400" s="148" t="s">
        <v>76</v>
      </c>
    </row>
    <row r="401" spans="1:11" s="50" customFormat="1" ht="66" customHeight="1" x14ac:dyDescent="0.25">
      <c r="A401" s="104">
        <f t="shared" si="7"/>
        <v>252</v>
      </c>
      <c r="B401" s="212"/>
      <c r="C401" s="148" t="s">
        <v>432</v>
      </c>
      <c r="D401" s="148" t="s">
        <v>93</v>
      </c>
      <c r="E401" s="148" t="s">
        <v>12</v>
      </c>
      <c r="F401" s="105">
        <v>1500</v>
      </c>
      <c r="G401" s="105">
        <v>1500</v>
      </c>
      <c r="H401" s="105">
        <v>0</v>
      </c>
      <c r="I401" s="105">
        <v>0</v>
      </c>
      <c r="J401" s="105">
        <v>0</v>
      </c>
      <c r="K401" s="148" t="s">
        <v>76</v>
      </c>
    </row>
    <row r="402" spans="1:11" s="50" customFormat="1" ht="38.4" customHeight="1" x14ac:dyDescent="0.25">
      <c r="A402" s="104">
        <f t="shared" si="7"/>
        <v>253</v>
      </c>
      <c r="B402" s="212"/>
      <c r="C402" s="148" t="s">
        <v>433</v>
      </c>
      <c r="D402" s="148" t="s">
        <v>434</v>
      </c>
      <c r="E402" s="148" t="s">
        <v>12</v>
      </c>
      <c r="F402" s="105">
        <v>4607</v>
      </c>
      <c r="G402" s="105">
        <v>4607</v>
      </c>
      <c r="H402" s="105">
        <v>0</v>
      </c>
      <c r="I402" s="105">
        <v>0</v>
      </c>
      <c r="J402" s="105">
        <v>0</v>
      </c>
      <c r="K402" s="148" t="s">
        <v>76</v>
      </c>
    </row>
    <row r="403" spans="1:11" s="50" customFormat="1" ht="40.200000000000003" customHeight="1" x14ac:dyDescent="0.25">
      <c r="A403" s="104">
        <f t="shared" si="7"/>
        <v>254</v>
      </c>
      <c r="B403" s="212"/>
      <c r="C403" s="148" t="s">
        <v>435</v>
      </c>
      <c r="D403" s="148" t="s">
        <v>436</v>
      </c>
      <c r="E403" s="148" t="s">
        <v>12</v>
      </c>
      <c r="F403" s="105">
        <v>1072.68</v>
      </c>
      <c r="G403" s="105">
        <v>1072.68</v>
      </c>
      <c r="H403" s="105">
        <v>0</v>
      </c>
      <c r="I403" s="105">
        <v>0</v>
      </c>
      <c r="J403" s="105">
        <v>0</v>
      </c>
      <c r="K403" s="148" t="s">
        <v>76</v>
      </c>
    </row>
    <row r="404" spans="1:11" s="50" customFormat="1" ht="40.200000000000003" customHeight="1" x14ac:dyDescent="0.25">
      <c r="A404" s="104">
        <f t="shared" si="7"/>
        <v>255</v>
      </c>
      <c r="B404" s="212"/>
      <c r="C404" s="148" t="s">
        <v>437</v>
      </c>
      <c r="D404" s="148" t="s">
        <v>438</v>
      </c>
      <c r="E404" s="148" t="s">
        <v>12</v>
      </c>
      <c r="F404" s="105">
        <v>7285.53</v>
      </c>
      <c r="G404" s="105">
        <v>7285.53</v>
      </c>
      <c r="H404" s="105">
        <v>0</v>
      </c>
      <c r="I404" s="105">
        <v>0</v>
      </c>
      <c r="J404" s="105">
        <v>0</v>
      </c>
      <c r="K404" s="148" t="s">
        <v>76</v>
      </c>
    </row>
    <row r="405" spans="1:11" s="50" customFormat="1" ht="40.200000000000003" customHeight="1" x14ac:dyDescent="0.25">
      <c r="A405" s="104">
        <f t="shared" si="7"/>
        <v>256</v>
      </c>
      <c r="B405" s="212"/>
      <c r="C405" s="148" t="s">
        <v>439</v>
      </c>
      <c r="D405" s="148" t="s">
        <v>394</v>
      </c>
      <c r="E405" s="148" t="s">
        <v>12</v>
      </c>
      <c r="F405" s="105">
        <v>1355.24</v>
      </c>
      <c r="G405" s="105">
        <v>1355.24</v>
      </c>
      <c r="H405" s="105">
        <v>0</v>
      </c>
      <c r="I405" s="105">
        <v>0</v>
      </c>
      <c r="J405" s="105">
        <v>0</v>
      </c>
      <c r="K405" s="148" t="s">
        <v>76</v>
      </c>
    </row>
    <row r="406" spans="1:11" s="50" customFormat="1" ht="28.95" customHeight="1" x14ac:dyDescent="0.25">
      <c r="A406" s="104">
        <f t="shared" si="7"/>
        <v>257</v>
      </c>
      <c r="B406" s="212"/>
      <c r="C406" s="148" t="s">
        <v>440</v>
      </c>
      <c r="D406" s="148" t="s">
        <v>428</v>
      </c>
      <c r="E406" s="148" t="s">
        <v>12</v>
      </c>
      <c r="F406" s="105">
        <v>19999.474999999999</v>
      </c>
      <c r="G406" s="105">
        <v>19999.474999999999</v>
      </c>
      <c r="H406" s="105">
        <v>0</v>
      </c>
      <c r="I406" s="105">
        <v>0</v>
      </c>
      <c r="J406" s="105">
        <v>0</v>
      </c>
      <c r="K406" s="148" t="s">
        <v>76</v>
      </c>
    </row>
    <row r="407" spans="1:11" s="50" customFormat="1" ht="28.95" customHeight="1" x14ac:dyDescent="0.25">
      <c r="A407" s="104">
        <f t="shared" si="7"/>
        <v>258</v>
      </c>
      <c r="B407" s="212"/>
      <c r="C407" s="148" t="s">
        <v>441</v>
      </c>
      <c r="D407" s="148" t="s">
        <v>369</v>
      </c>
      <c r="E407" s="148" t="s">
        <v>12</v>
      </c>
      <c r="F407" s="105">
        <v>4607</v>
      </c>
      <c r="G407" s="105">
        <v>4607</v>
      </c>
      <c r="H407" s="105">
        <v>0</v>
      </c>
      <c r="I407" s="105">
        <v>0</v>
      </c>
      <c r="J407" s="105">
        <v>0</v>
      </c>
      <c r="K407" s="148" t="s">
        <v>76</v>
      </c>
    </row>
    <row r="408" spans="1:11" s="50" customFormat="1" ht="36" customHeight="1" x14ac:dyDescent="0.25">
      <c r="A408" s="104">
        <f t="shared" si="7"/>
        <v>259</v>
      </c>
      <c r="B408" s="212"/>
      <c r="C408" s="148" t="s">
        <v>442</v>
      </c>
      <c r="D408" s="148" t="s">
        <v>443</v>
      </c>
      <c r="E408" s="148" t="s">
        <v>12</v>
      </c>
      <c r="F408" s="105">
        <v>1072.68</v>
      </c>
      <c r="G408" s="105">
        <v>1072.68</v>
      </c>
      <c r="H408" s="105">
        <v>0</v>
      </c>
      <c r="I408" s="105">
        <v>0</v>
      </c>
      <c r="J408" s="105">
        <v>0</v>
      </c>
      <c r="K408" s="148" t="s">
        <v>76</v>
      </c>
    </row>
    <row r="409" spans="1:11" s="50" customFormat="1" ht="37.799999999999997" customHeight="1" x14ac:dyDescent="0.25">
      <c r="A409" s="104">
        <f t="shared" si="7"/>
        <v>260</v>
      </c>
      <c r="B409" s="212"/>
      <c r="C409" s="148" t="s">
        <v>444</v>
      </c>
      <c r="D409" s="148" t="s">
        <v>367</v>
      </c>
      <c r="E409" s="148" t="s">
        <v>12</v>
      </c>
      <c r="F409" s="105">
        <v>1355.24</v>
      </c>
      <c r="G409" s="105">
        <v>1355.24</v>
      </c>
      <c r="H409" s="105">
        <v>0</v>
      </c>
      <c r="I409" s="105">
        <v>0</v>
      </c>
      <c r="J409" s="105">
        <v>0</v>
      </c>
      <c r="K409" s="148" t="s">
        <v>76</v>
      </c>
    </row>
    <row r="410" spans="1:11" s="50" customFormat="1" ht="42" customHeight="1" x14ac:dyDescent="0.25">
      <c r="A410" s="104">
        <f t="shared" si="7"/>
        <v>261</v>
      </c>
      <c r="B410" s="212"/>
      <c r="C410" s="148" t="s">
        <v>445</v>
      </c>
      <c r="D410" s="148" t="s">
        <v>423</v>
      </c>
      <c r="E410" s="148" t="s">
        <v>12</v>
      </c>
      <c r="F410" s="105">
        <v>1204.8</v>
      </c>
      <c r="G410" s="105">
        <v>1204.8</v>
      </c>
      <c r="H410" s="105">
        <v>0</v>
      </c>
      <c r="I410" s="105">
        <v>0</v>
      </c>
      <c r="J410" s="105">
        <v>0</v>
      </c>
      <c r="K410" s="148" t="s">
        <v>76</v>
      </c>
    </row>
    <row r="411" spans="1:11" s="50" customFormat="1" ht="28.95" customHeight="1" x14ac:dyDescent="0.25">
      <c r="A411" s="104">
        <f t="shared" si="7"/>
        <v>262</v>
      </c>
      <c r="B411" s="212"/>
      <c r="C411" s="148" t="s">
        <v>446</v>
      </c>
      <c r="D411" s="148" t="s">
        <v>428</v>
      </c>
      <c r="E411" s="148" t="s">
        <v>12</v>
      </c>
      <c r="F411" s="105">
        <v>2949.6019999999999</v>
      </c>
      <c r="G411" s="105">
        <v>2949.6019999999999</v>
      </c>
      <c r="H411" s="105">
        <v>0</v>
      </c>
      <c r="I411" s="105">
        <v>0</v>
      </c>
      <c r="J411" s="105">
        <v>0</v>
      </c>
      <c r="K411" s="148" t="s">
        <v>76</v>
      </c>
    </row>
    <row r="412" spans="1:11" s="50" customFormat="1" ht="72" customHeight="1" x14ac:dyDescent="0.25">
      <c r="A412" s="104">
        <f t="shared" si="7"/>
        <v>263</v>
      </c>
      <c r="B412" s="212"/>
      <c r="C412" s="148" t="s">
        <v>447</v>
      </c>
      <c r="D412" s="148" t="s">
        <v>448</v>
      </c>
      <c r="E412" s="148" t="s">
        <v>12</v>
      </c>
      <c r="F412" s="105">
        <v>959.21280000000002</v>
      </c>
      <c r="G412" s="105">
        <v>959.21280000000002</v>
      </c>
      <c r="H412" s="105">
        <v>0</v>
      </c>
      <c r="I412" s="105">
        <v>0</v>
      </c>
      <c r="J412" s="105">
        <v>0</v>
      </c>
      <c r="K412" s="148" t="s">
        <v>76</v>
      </c>
    </row>
    <row r="413" spans="1:11" s="50" customFormat="1" ht="56.4" customHeight="1" x14ac:dyDescent="0.25">
      <c r="A413" s="104">
        <f t="shared" si="7"/>
        <v>264</v>
      </c>
      <c r="B413" s="212"/>
      <c r="C413" s="148" t="s">
        <v>449</v>
      </c>
      <c r="D413" s="148" t="s">
        <v>450</v>
      </c>
      <c r="E413" s="148" t="s">
        <v>12</v>
      </c>
      <c r="F413" s="105">
        <v>7962.2875199999999</v>
      </c>
      <c r="G413" s="105">
        <v>7962.2875199999999</v>
      </c>
      <c r="H413" s="105">
        <v>0</v>
      </c>
      <c r="I413" s="105">
        <v>0</v>
      </c>
      <c r="J413" s="105">
        <v>0</v>
      </c>
      <c r="K413" s="148" t="s">
        <v>76</v>
      </c>
    </row>
    <row r="414" spans="1:11" s="50" customFormat="1" ht="37.799999999999997" customHeight="1" x14ac:dyDescent="0.25">
      <c r="A414" s="104">
        <f t="shared" si="7"/>
        <v>265</v>
      </c>
      <c r="B414" s="212"/>
      <c r="C414" s="148" t="s">
        <v>451</v>
      </c>
      <c r="D414" s="148" t="s">
        <v>452</v>
      </c>
      <c r="E414" s="148" t="s">
        <v>12</v>
      </c>
      <c r="F414" s="105">
        <v>20744.494999999999</v>
      </c>
      <c r="G414" s="105">
        <v>0</v>
      </c>
      <c r="H414" s="105">
        <v>20744.494999999999</v>
      </c>
      <c r="I414" s="105">
        <v>0</v>
      </c>
      <c r="J414" s="105">
        <v>0</v>
      </c>
      <c r="K414" s="148" t="s">
        <v>282</v>
      </c>
    </row>
    <row r="415" spans="1:11" s="50" customFormat="1" ht="40.200000000000003" customHeight="1" x14ac:dyDescent="0.25">
      <c r="A415" s="104">
        <f t="shared" si="7"/>
        <v>266</v>
      </c>
      <c r="B415" s="212"/>
      <c r="C415" s="148" t="s">
        <v>453</v>
      </c>
      <c r="D415" s="148" t="s">
        <v>454</v>
      </c>
      <c r="E415" s="148" t="s">
        <v>12</v>
      </c>
      <c r="F415" s="105">
        <v>22628.288250000001</v>
      </c>
      <c r="G415" s="105">
        <v>0</v>
      </c>
      <c r="H415" s="105">
        <v>22628.288250000001</v>
      </c>
      <c r="I415" s="105">
        <v>0</v>
      </c>
      <c r="J415" s="105">
        <v>0</v>
      </c>
      <c r="K415" s="148" t="s">
        <v>282</v>
      </c>
    </row>
    <row r="416" spans="1:11" s="50" customFormat="1" ht="40.200000000000003" customHeight="1" x14ac:dyDescent="0.25">
      <c r="A416" s="104">
        <f t="shared" si="7"/>
        <v>267</v>
      </c>
      <c r="B416" s="212"/>
      <c r="C416" s="148" t="s">
        <v>455</v>
      </c>
      <c r="D416" s="148" t="s">
        <v>456</v>
      </c>
      <c r="E416" s="148" t="s">
        <v>12</v>
      </c>
      <c r="F416" s="105">
        <v>8521.0290000000005</v>
      </c>
      <c r="G416" s="105">
        <v>0</v>
      </c>
      <c r="H416" s="105">
        <v>8521.0290000000005</v>
      </c>
      <c r="I416" s="105">
        <v>0</v>
      </c>
      <c r="J416" s="105">
        <v>0</v>
      </c>
      <c r="K416" s="148" t="s">
        <v>282</v>
      </c>
    </row>
    <row r="417" spans="1:11" s="50" customFormat="1" ht="40.200000000000003" customHeight="1" x14ac:dyDescent="0.25">
      <c r="A417" s="104">
        <f t="shared" si="7"/>
        <v>268</v>
      </c>
      <c r="B417" s="212"/>
      <c r="C417" s="148" t="s">
        <v>457</v>
      </c>
      <c r="D417" s="148" t="s">
        <v>458</v>
      </c>
      <c r="E417" s="148" t="s">
        <v>12</v>
      </c>
      <c r="F417" s="105">
        <v>20744.494999999999</v>
      </c>
      <c r="G417" s="105">
        <v>0</v>
      </c>
      <c r="H417" s="105">
        <v>0</v>
      </c>
      <c r="I417" s="105">
        <v>20744.494999999999</v>
      </c>
      <c r="J417" s="105">
        <v>0</v>
      </c>
      <c r="K417" s="148" t="s">
        <v>459</v>
      </c>
    </row>
    <row r="418" spans="1:11" s="50" customFormat="1" ht="40.200000000000003" customHeight="1" x14ac:dyDescent="0.25">
      <c r="A418" s="104">
        <f t="shared" si="7"/>
        <v>269</v>
      </c>
      <c r="B418" s="212"/>
      <c r="C418" s="148" t="s">
        <v>460</v>
      </c>
      <c r="D418" s="148" t="s">
        <v>461</v>
      </c>
      <c r="E418" s="148" t="s">
        <v>12</v>
      </c>
      <c r="F418" s="105">
        <v>22628.288250000001</v>
      </c>
      <c r="G418" s="105">
        <v>0</v>
      </c>
      <c r="H418" s="105">
        <v>0</v>
      </c>
      <c r="I418" s="105">
        <v>22628.288250000001</v>
      </c>
      <c r="J418" s="105">
        <v>0</v>
      </c>
      <c r="K418" s="148" t="s">
        <v>459</v>
      </c>
    </row>
    <row r="419" spans="1:11" s="50" customFormat="1" ht="40.200000000000003" customHeight="1" x14ac:dyDescent="0.25">
      <c r="A419" s="104">
        <f t="shared" si="7"/>
        <v>270</v>
      </c>
      <c r="B419" s="212"/>
      <c r="C419" s="148" t="s">
        <v>462</v>
      </c>
      <c r="D419" s="148" t="s">
        <v>463</v>
      </c>
      <c r="E419" s="148" t="s">
        <v>12</v>
      </c>
      <c r="F419" s="105">
        <v>8521.0290000000005</v>
      </c>
      <c r="G419" s="105">
        <v>0</v>
      </c>
      <c r="H419" s="105">
        <v>0</v>
      </c>
      <c r="I419" s="105">
        <v>8521.0290000000005</v>
      </c>
      <c r="J419" s="105">
        <v>0</v>
      </c>
      <c r="K419" s="148" t="s">
        <v>459</v>
      </c>
    </row>
    <row r="420" spans="1:11" s="47" customFormat="1" ht="17.399999999999999" customHeight="1" x14ac:dyDescent="0.3">
      <c r="A420" s="213" t="s">
        <v>57</v>
      </c>
      <c r="B420" s="213"/>
      <c r="C420" s="213"/>
      <c r="D420" s="213"/>
      <c r="E420" s="147"/>
      <c r="F420" s="106"/>
      <c r="G420" s="107">
        <f>SUM(G395:G419)</f>
        <v>88485.549319999976</v>
      </c>
      <c r="H420" s="107"/>
      <c r="I420" s="107"/>
      <c r="J420" s="107"/>
      <c r="K420" s="147"/>
    </row>
    <row r="421" spans="1:11" s="49" customFormat="1" ht="17.399999999999999" customHeight="1" x14ac:dyDescent="0.3">
      <c r="A421" s="214" t="s">
        <v>62</v>
      </c>
      <c r="B421" s="215"/>
      <c r="C421" s="215"/>
      <c r="D421" s="215"/>
      <c r="E421" s="147"/>
      <c r="F421" s="106"/>
      <c r="G421" s="106"/>
      <c r="H421" s="107">
        <f>SUM(H395:H419)</f>
        <v>51893.812250000003</v>
      </c>
      <c r="I421" s="107"/>
      <c r="J421" s="107"/>
      <c r="K421" s="147"/>
    </row>
    <row r="422" spans="1:11" s="49" customFormat="1" ht="18" customHeight="1" x14ac:dyDescent="0.3">
      <c r="A422" s="214" t="s">
        <v>19</v>
      </c>
      <c r="B422" s="215"/>
      <c r="C422" s="215"/>
      <c r="D422" s="215"/>
      <c r="E422" s="147"/>
      <c r="F422" s="106"/>
      <c r="G422" s="106"/>
      <c r="H422" s="107"/>
      <c r="I422" s="107">
        <f>SUM(I395:I419)</f>
        <v>51893.812250000003</v>
      </c>
      <c r="J422" s="107"/>
      <c r="K422" s="147"/>
    </row>
    <row r="423" spans="1:11" s="50" customFormat="1" ht="72.599999999999994" customHeight="1" x14ac:dyDescent="0.25">
      <c r="A423" s="108" t="s">
        <v>1143</v>
      </c>
      <c r="B423" s="212" t="s">
        <v>464</v>
      </c>
      <c r="C423" s="148" t="s">
        <v>465</v>
      </c>
      <c r="D423" s="148" t="s">
        <v>303</v>
      </c>
      <c r="E423" s="148" t="s">
        <v>12</v>
      </c>
      <c r="F423" s="105">
        <v>858.02880000000005</v>
      </c>
      <c r="G423" s="105">
        <v>858.02880000000005</v>
      </c>
      <c r="H423" s="105">
        <v>0</v>
      </c>
      <c r="I423" s="105">
        <v>0</v>
      </c>
      <c r="J423" s="105">
        <v>0</v>
      </c>
      <c r="K423" s="148" t="s">
        <v>76</v>
      </c>
    </row>
    <row r="424" spans="1:11" s="50" customFormat="1" ht="58.2" customHeight="1" x14ac:dyDescent="0.25">
      <c r="A424" s="108" t="s">
        <v>1145</v>
      </c>
      <c r="B424" s="212"/>
      <c r="C424" s="148" t="s">
        <v>466</v>
      </c>
      <c r="D424" s="148" t="s">
        <v>467</v>
      </c>
      <c r="E424" s="148" t="s">
        <v>12</v>
      </c>
      <c r="F424" s="105">
        <v>8597.9650000000001</v>
      </c>
      <c r="G424" s="105">
        <v>8597.9650000000001</v>
      </c>
      <c r="H424" s="105">
        <v>0</v>
      </c>
      <c r="I424" s="105">
        <v>0</v>
      </c>
      <c r="J424" s="105">
        <v>0</v>
      </c>
      <c r="K424" s="148" t="s">
        <v>72</v>
      </c>
    </row>
    <row r="425" spans="1:11" s="50" customFormat="1" ht="45.6" customHeight="1" x14ac:dyDescent="0.25">
      <c r="A425" s="108" t="s">
        <v>2534</v>
      </c>
      <c r="B425" s="212"/>
      <c r="C425" s="148" t="s">
        <v>468</v>
      </c>
      <c r="D425" s="148" t="s">
        <v>298</v>
      </c>
      <c r="E425" s="148" t="s">
        <v>12</v>
      </c>
      <c r="F425" s="105">
        <v>1348.92</v>
      </c>
      <c r="G425" s="105">
        <v>1348.92</v>
      </c>
      <c r="H425" s="105">
        <v>0</v>
      </c>
      <c r="I425" s="105">
        <v>0</v>
      </c>
      <c r="J425" s="105">
        <v>0</v>
      </c>
      <c r="K425" s="148" t="s">
        <v>76</v>
      </c>
    </row>
    <row r="426" spans="1:11" s="50" customFormat="1" ht="39.6" customHeight="1" x14ac:dyDescent="0.25">
      <c r="A426" s="108" t="s">
        <v>2535</v>
      </c>
      <c r="B426" s="212"/>
      <c r="C426" s="148" t="s">
        <v>469</v>
      </c>
      <c r="D426" s="148" t="s">
        <v>470</v>
      </c>
      <c r="E426" s="148" t="s">
        <v>12</v>
      </c>
      <c r="F426" s="105">
        <v>551.67499999999995</v>
      </c>
      <c r="G426" s="105">
        <v>551.67499999999995</v>
      </c>
      <c r="H426" s="105">
        <v>0</v>
      </c>
      <c r="I426" s="105">
        <v>0</v>
      </c>
      <c r="J426" s="105">
        <v>0</v>
      </c>
      <c r="K426" s="148" t="s">
        <v>72</v>
      </c>
    </row>
    <row r="427" spans="1:11" s="47" customFormat="1" ht="14.4" customHeight="1" x14ac:dyDescent="0.3">
      <c r="A427" s="213" t="s">
        <v>57</v>
      </c>
      <c r="B427" s="213"/>
      <c r="C427" s="213"/>
      <c r="D427" s="213"/>
      <c r="E427" s="147"/>
      <c r="F427" s="106"/>
      <c r="G427" s="107">
        <f>SUM(G423:G426)</f>
        <v>11356.5888</v>
      </c>
      <c r="H427" s="107"/>
      <c r="I427" s="107"/>
      <c r="J427" s="107"/>
      <c r="K427" s="147"/>
    </row>
    <row r="428" spans="1:11" s="49" customFormat="1" ht="17.399999999999999" customHeight="1" x14ac:dyDescent="0.3">
      <c r="A428" s="214" t="s">
        <v>62</v>
      </c>
      <c r="B428" s="215"/>
      <c r="C428" s="215"/>
      <c r="D428" s="215"/>
      <c r="E428" s="147"/>
      <c r="F428" s="106"/>
      <c r="G428" s="106"/>
      <c r="H428" s="107">
        <f>SUM(H423:H426)</f>
        <v>0</v>
      </c>
      <c r="I428" s="107"/>
      <c r="J428" s="107"/>
      <c r="K428" s="147"/>
    </row>
    <row r="429" spans="1:11" s="49" customFormat="1" ht="15" customHeight="1" x14ac:dyDescent="0.3">
      <c r="A429" s="214" t="s">
        <v>19</v>
      </c>
      <c r="B429" s="215"/>
      <c r="C429" s="215"/>
      <c r="D429" s="215"/>
      <c r="E429" s="147"/>
      <c r="F429" s="106"/>
      <c r="G429" s="106"/>
      <c r="H429" s="107"/>
      <c r="I429" s="107">
        <f>SUM(I423:I426)</f>
        <v>0</v>
      </c>
      <c r="J429" s="107"/>
      <c r="K429" s="147"/>
    </row>
    <row r="430" spans="1:11" s="46" customFormat="1" ht="66" customHeight="1" x14ac:dyDescent="0.3">
      <c r="A430" s="104">
        <v>275</v>
      </c>
      <c r="B430" s="209" t="s">
        <v>471</v>
      </c>
      <c r="C430" s="148" t="s">
        <v>472</v>
      </c>
      <c r="D430" s="148" t="s">
        <v>473</v>
      </c>
      <c r="E430" s="146" t="s">
        <v>12</v>
      </c>
      <c r="F430" s="105">
        <v>1137.9559999999999</v>
      </c>
      <c r="G430" s="105">
        <v>1137.9559999999999</v>
      </c>
      <c r="H430" s="105">
        <v>0</v>
      </c>
      <c r="I430" s="105">
        <v>0</v>
      </c>
      <c r="J430" s="105">
        <v>0</v>
      </c>
      <c r="K430" s="148" t="s">
        <v>72</v>
      </c>
    </row>
    <row r="431" spans="1:11" s="46" customFormat="1" ht="26.4" x14ac:dyDescent="0.3">
      <c r="A431" s="104">
        <f>A430+1</f>
        <v>276</v>
      </c>
      <c r="B431" s="209"/>
      <c r="C431" s="148" t="s">
        <v>474</v>
      </c>
      <c r="D431" s="148" t="s">
        <v>286</v>
      </c>
      <c r="E431" s="146" t="s">
        <v>12</v>
      </c>
      <c r="F431" s="105">
        <v>907.64400000000001</v>
      </c>
      <c r="G431" s="105">
        <v>907.64400000000001</v>
      </c>
      <c r="H431" s="105">
        <v>0</v>
      </c>
      <c r="I431" s="105">
        <v>0</v>
      </c>
      <c r="J431" s="105">
        <v>0</v>
      </c>
      <c r="K431" s="148" t="s">
        <v>72</v>
      </c>
    </row>
    <row r="432" spans="1:11" s="46" customFormat="1" ht="36.6" customHeight="1" x14ac:dyDescent="0.3">
      <c r="A432" s="104">
        <f t="shared" ref="A432:A450" si="8">A431+1</f>
        <v>277</v>
      </c>
      <c r="B432" s="209"/>
      <c r="C432" s="148" t="s">
        <v>475</v>
      </c>
      <c r="D432" s="148" t="s">
        <v>286</v>
      </c>
      <c r="E432" s="146" t="s">
        <v>12</v>
      </c>
      <c r="F432" s="105">
        <v>555.84</v>
      </c>
      <c r="G432" s="105">
        <v>555.84</v>
      </c>
      <c r="H432" s="105">
        <v>0</v>
      </c>
      <c r="I432" s="105">
        <v>0</v>
      </c>
      <c r="J432" s="105">
        <v>0</v>
      </c>
      <c r="K432" s="148" t="s">
        <v>72</v>
      </c>
    </row>
    <row r="433" spans="1:11" s="46" customFormat="1" ht="36.6" customHeight="1" x14ac:dyDescent="0.3">
      <c r="A433" s="104">
        <f t="shared" si="8"/>
        <v>278</v>
      </c>
      <c r="B433" s="209"/>
      <c r="C433" s="148" t="s">
        <v>476</v>
      </c>
      <c r="D433" s="148" t="s">
        <v>477</v>
      </c>
      <c r="E433" s="146" t="s">
        <v>12</v>
      </c>
      <c r="F433" s="105">
        <v>150</v>
      </c>
      <c r="G433" s="105">
        <v>150</v>
      </c>
      <c r="H433" s="105">
        <v>0</v>
      </c>
      <c r="I433" s="105">
        <v>0</v>
      </c>
      <c r="J433" s="105">
        <v>0</v>
      </c>
      <c r="K433" s="148" t="s">
        <v>72</v>
      </c>
    </row>
    <row r="434" spans="1:11" s="46" customFormat="1" ht="36.6" customHeight="1" x14ac:dyDescent="0.3">
      <c r="A434" s="104">
        <f t="shared" si="8"/>
        <v>279</v>
      </c>
      <c r="B434" s="209"/>
      <c r="C434" s="148" t="s">
        <v>478</v>
      </c>
      <c r="D434" s="148" t="s">
        <v>479</v>
      </c>
      <c r="E434" s="146" t="s">
        <v>12</v>
      </c>
      <c r="F434" s="105">
        <v>2100.25</v>
      </c>
      <c r="G434" s="105">
        <v>2100.25</v>
      </c>
      <c r="H434" s="105">
        <v>0</v>
      </c>
      <c r="I434" s="105">
        <v>0</v>
      </c>
      <c r="J434" s="105">
        <v>0</v>
      </c>
      <c r="K434" s="148" t="s">
        <v>72</v>
      </c>
    </row>
    <row r="435" spans="1:11" s="46" customFormat="1" ht="36.6" customHeight="1" x14ac:dyDescent="0.3">
      <c r="A435" s="104">
        <f t="shared" si="8"/>
        <v>280</v>
      </c>
      <c r="B435" s="209"/>
      <c r="C435" s="148" t="s">
        <v>480</v>
      </c>
      <c r="D435" s="148" t="s">
        <v>481</v>
      </c>
      <c r="E435" s="146" t="s">
        <v>12</v>
      </c>
      <c r="F435" s="105">
        <v>975.5</v>
      </c>
      <c r="G435" s="105">
        <v>975.5</v>
      </c>
      <c r="H435" s="105">
        <v>0</v>
      </c>
      <c r="I435" s="105">
        <v>0</v>
      </c>
      <c r="J435" s="105">
        <v>0</v>
      </c>
      <c r="K435" s="148" t="s">
        <v>72</v>
      </c>
    </row>
    <row r="436" spans="1:11" s="46" customFormat="1" ht="36.6" customHeight="1" x14ac:dyDescent="0.3">
      <c r="A436" s="104">
        <f t="shared" si="8"/>
        <v>281</v>
      </c>
      <c r="B436" s="209"/>
      <c r="C436" s="148" t="s">
        <v>482</v>
      </c>
      <c r="D436" s="148" t="s">
        <v>229</v>
      </c>
      <c r="E436" s="146" t="s">
        <v>12</v>
      </c>
      <c r="F436" s="105">
        <v>754.4</v>
      </c>
      <c r="G436" s="105">
        <v>754.4</v>
      </c>
      <c r="H436" s="105">
        <v>0</v>
      </c>
      <c r="I436" s="105">
        <v>0</v>
      </c>
      <c r="J436" s="105">
        <v>0</v>
      </c>
      <c r="K436" s="148" t="s">
        <v>72</v>
      </c>
    </row>
    <row r="437" spans="1:11" s="46" customFormat="1" ht="50.4" customHeight="1" x14ac:dyDescent="0.3">
      <c r="A437" s="104">
        <f t="shared" si="8"/>
        <v>282</v>
      </c>
      <c r="B437" s="209"/>
      <c r="C437" s="148" t="s">
        <v>483</v>
      </c>
      <c r="D437" s="148" t="s">
        <v>484</v>
      </c>
      <c r="E437" s="146" t="s">
        <v>12</v>
      </c>
      <c r="F437" s="105">
        <v>1099.4000000000001</v>
      </c>
      <c r="G437" s="105">
        <v>1099.4000000000001</v>
      </c>
      <c r="H437" s="105">
        <v>0</v>
      </c>
      <c r="I437" s="105">
        <v>0</v>
      </c>
      <c r="J437" s="105">
        <v>0</v>
      </c>
      <c r="K437" s="148" t="s">
        <v>72</v>
      </c>
    </row>
    <row r="438" spans="1:11" s="46" customFormat="1" ht="50.4" customHeight="1" x14ac:dyDescent="0.3">
      <c r="A438" s="104">
        <f t="shared" si="8"/>
        <v>283</v>
      </c>
      <c r="B438" s="209"/>
      <c r="C438" s="148" t="s">
        <v>485</v>
      </c>
      <c r="D438" s="148" t="s">
        <v>486</v>
      </c>
      <c r="E438" s="146" t="s">
        <v>12</v>
      </c>
      <c r="F438" s="105">
        <v>12991.39</v>
      </c>
      <c r="G438" s="105">
        <v>12991.39</v>
      </c>
      <c r="H438" s="105">
        <v>0</v>
      </c>
      <c r="I438" s="105">
        <v>0</v>
      </c>
      <c r="J438" s="105">
        <v>0</v>
      </c>
      <c r="K438" s="148" t="s">
        <v>72</v>
      </c>
    </row>
    <row r="439" spans="1:11" s="46" customFormat="1" ht="50.4" customHeight="1" x14ac:dyDescent="0.3">
      <c r="A439" s="104">
        <f t="shared" si="8"/>
        <v>284</v>
      </c>
      <c r="B439" s="209"/>
      <c r="C439" s="148" t="s">
        <v>487</v>
      </c>
      <c r="D439" s="148" t="s">
        <v>423</v>
      </c>
      <c r="E439" s="146" t="s">
        <v>12</v>
      </c>
      <c r="F439" s="105">
        <v>651</v>
      </c>
      <c r="G439" s="105">
        <v>651</v>
      </c>
      <c r="H439" s="105">
        <v>0</v>
      </c>
      <c r="I439" s="105">
        <v>0</v>
      </c>
      <c r="J439" s="105">
        <v>0</v>
      </c>
      <c r="K439" s="148" t="s">
        <v>72</v>
      </c>
    </row>
    <row r="440" spans="1:11" s="46" customFormat="1" ht="50.4" customHeight="1" x14ac:dyDescent="0.3">
      <c r="A440" s="104">
        <f t="shared" si="8"/>
        <v>285</v>
      </c>
      <c r="B440" s="209"/>
      <c r="C440" s="148" t="s">
        <v>488</v>
      </c>
      <c r="D440" s="148" t="s">
        <v>349</v>
      </c>
      <c r="E440" s="146" t="s">
        <v>12</v>
      </c>
      <c r="F440" s="105">
        <v>3245</v>
      </c>
      <c r="G440" s="105">
        <v>3245</v>
      </c>
      <c r="H440" s="105">
        <v>0</v>
      </c>
      <c r="I440" s="105">
        <v>0</v>
      </c>
      <c r="J440" s="105">
        <v>0</v>
      </c>
      <c r="K440" s="148" t="s">
        <v>72</v>
      </c>
    </row>
    <row r="441" spans="1:11" s="46" customFormat="1" ht="26.4" x14ac:dyDescent="0.3">
      <c r="A441" s="104">
        <f t="shared" si="8"/>
        <v>286</v>
      </c>
      <c r="B441" s="209"/>
      <c r="C441" s="148" t="s">
        <v>489</v>
      </c>
      <c r="D441" s="148" t="s">
        <v>323</v>
      </c>
      <c r="E441" s="146" t="s">
        <v>12</v>
      </c>
      <c r="F441" s="105">
        <v>3522.46</v>
      </c>
      <c r="G441" s="105">
        <v>3522.46</v>
      </c>
      <c r="H441" s="105">
        <v>0</v>
      </c>
      <c r="I441" s="105">
        <v>0</v>
      </c>
      <c r="J441" s="105">
        <v>0</v>
      </c>
      <c r="K441" s="148" t="s">
        <v>72</v>
      </c>
    </row>
    <row r="442" spans="1:11" s="46" customFormat="1" ht="69" customHeight="1" x14ac:dyDescent="0.3">
      <c r="A442" s="104">
        <f t="shared" si="8"/>
        <v>287</v>
      </c>
      <c r="B442" s="209"/>
      <c r="C442" s="148" t="s">
        <v>490</v>
      </c>
      <c r="D442" s="148" t="s">
        <v>491</v>
      </c>
      <c r="E442" s="146" t="s">
        <v>12</v>
      </c>
      <c r="F442" s="105">
        <v>430.73363000000001</v>
      </c>
      <c r="G442" s="105">
        <v>430.73363000000001</v>
      </c>
      <c r="H442" s="105">
        <v>0</v>
      </c>
      <c r="I442" s="105">
        <v>0</v>
      </c>
      <c r="J442" s="105">
        <v>0</v>
      </c>
      <c r="K442" s="148" t="s">
        <v>72</v>
      </c>
    </row>
    <row r="443" spans="1:11" s="46" customFormat="1" ht="69" customHeight="1" x14ac:dyDescent="0.3">
      <c r="A443" s="104">
        <f t="shared" si="8"/>
        <v>288</v>
      </c>
      <c r="B443" s="209"/>
      <c r="C443" s="148" t="s">
        <v>492</v>
      </c>
      <c r="D443" s="148" t="s">
        <v>493</v>
      </c>
      <c r="E443" s="146" t="s">
        <v>12</v>
      </c>
      <c r="F443" s="105">
        <v>114</v>
      </c>
      <c r="G443" s="105">
        <v>42</v>
      </c>
      <c r="H443" s="105">
        <v>72</v>
      </c>
      <c r="I443" s="105">
        <v>0</v>
      </c>
      <c r="J443" s="105">
        <v>0</v>
      </c>
      <c r="K443" s="148" t="s">
        <v>72</v>
      </c>
    </row>
    <row r="444" spans="1:11" s="46" customFormat="1" ht="94.2" customHeight="1" x14ac:dyDescent="0.3">
      <c r="A444" s="104">
        <f t="shared" si="8"/>
        <v>289</v>
      </c>
      <c r="B444" s="209"/>
      <c r="C444" s="148" t="s">
        <v>494</v>
      </c>
      <c r="D444" s="148" t="s">
        <v>495</v>
      </c>
      <c r="E444" s="146" t="s">
        <v>12</v>
      </c>
      <c r="F444" s="105">
        <v>106.4</v>
      </c>
      <c r="G444" s="105">
        <v>39.200000000000003</v>
      </c>
      <c r="H444" s="105">
        <v>67.2</v>
      </c>
      <c r="I444" s="105">
        <v>0</v>
      </c>
      <c r="J444" s="105">
        <v>0</v>
      </c>
      <c r="K444" s="148" t="s">
        <v>72</v>
      </c>
    </row>
    <row r="445" spans="1:11" s="46" customFormat="1" ht="40.200000000000003" customHeight="1" x14ac:dyDescent="0.3">
      <c r="A445" s="104">
        <f t="shared" si="8"/>
        <v>290</v>
      </c>
      <c r="B445" s="209"/>
      <c r="C445" s="148" t="s">
        <v>496</v>
      </c>
      <c r="D445" s="148" t="s">
        <v>286</v>
      </c>
      <c r="E445" s="146" t="s">
        <v>12</v>
      </c>
      <c r="F445" s="105">
        <v>9598.0589199999995</v>
      </c>
      <c r="G445" s="105">
        <v>0</v>
      </c>
      <c r="H445" s="105">
        <v>9598.0589199999995</v>
      </c>
      <c r="I445" s="105">
        <v>0</v>
      </c>
      <c r="J445" s="105">
        <v>0</v>
      </c>
      <c r="K445" s="148" t="s">
        <v>282</v>
      </c>
    </row>
    <row r="446" spans="1:11" s="46" customFormat="1" ht="40.200000000000003" customHeight="1" x14ac:dyDescent="0.3">
      <c r="A446" s="104">
        <f t="shared" si="8"/>
        <v>291</v>
      </c>
      <c r="B446" s="209"/>
      <c r="C446" s="148" t="s">
        <v>497</v>
      </c>
      <c r="D446" s="148" t="s">
        <v>498</v>
      </c>
      <c r="E446" s="146" t="s">
        <v>12</v>
      </c>
      <c r="F446" s="105">
        <v>18924.075000000001</v>
      </c>
      <c r="G446" s="105">
        <v>0</v>
      </c>
      <c r="H446" s="105">
        <v>18924.075000000001</v>
      </c>
      <c r="I446" s="105">
        <v>0</v>
      </c>
      <c r="J446" s="105">
        <v>0</v>
      </c>
      <c r="K446" s="148" t="s">
        <v>316</v>
      </c>
    </row>
    <row r="447" spans="1:11" s="46" customFormat="1" ht="40.200000000000003" customHeight="1" x14ac:dyDescent="0.3">
      <c r="A447" s="104">
        <f t="shared" si="8"/>
        <v>292</v>
      </c>
      <c r="B447" s="209"/>
      <c r="C447" s="148" t="s">
        <v>499</v>
      </c>
      <c r="D447" s="148" t="s">
        <v>500</v>
      </c>
      <c r="E447" s="146" t="s">
        <v>12</v>
      </c>
      <c r="F447" s="105">
        <v>23611.15</v>
      </c>
      <c r="G447" s="105">
        <v>0</v>
      </c>
      <c r="H447" s="105">
        <v>23611.15</v>
      </c>
      <c r="I447" s="105">
        <v>0</v>
      </c>
      <c r="J447" s="105">
        <v>0</v>
      </c>
      <c r="K447" s="148" t="s">
        <v>282</v>
      </c>
    </row>
    <row r="448" spans="1:11" s="46" customFormat="1" ht="40.200000000000003" customHeight="1" x14ac:dyDescent="0.3">
      <c r="A448" s="104">
        <f t="shared" si="8"/>
        <v>293</v>
      </c>
      <c r="B448" s="209"/>
      <c r="C448" s="148" t="s">
        <v>501</v>
      </c>
      <c r="D448" s="148" t="s">
        <v>286</v>
      </c>
      <c r="E448" s="146" t="s">
        <v>12</v>
      </c>
      <c r="F448" s="105">
        <v>9598.0589199999995</v>
      </c>
      <c r="G448" s="105">
        <v>0</v>
      </c>
      <c r="H448" s="105">
        <v>0</v>
      </c>
      <c r="I448" s="105">
        <v>9598.0589199999995</v>
      </c>
      <c r="J448" s="105">
        <v>0</v>
      </c>
      <c r="K448" s="148" t="s">
        <v>318</v>
      </c>
    </row>
    <row r="449" spans="1:11" s="46" customFormat="1" ht="40.200000000000003" customHeight="1" x14ac:dyDescent="0.3">
      <c r="A449" s="104">
        <f t="shared" si="8"/>
        <v>294</v>
      </c>
      <c r="B449" s="209"/>
      <c r="C449" s="148" t="s">
        <v>502</v>
      </c>
      <c r="D449" s="148" t="s">
        <v>500</v>
      </c>
      <c r="E449" s="146" t="s">
        <v>12</v>
      </c>
      <c r="F449" s="105">
        <v>23611.15</v>
      </c>
      <c r="G449" s="105">
        <v>0</v>
      </c>
      <c r="H449" s="105">
        <v>0</v>
      </c>
      <c r="I449" s="105">
        <v>23611.15</v>
      </c>
      <c r="J449" s="105">
        <v>0</v>
      </c>
      <c r="K449" s="148" t="s">
        <v>318</v>
      </c>
    </row>
    <row r="450" spans="1:11" s="46" customFormat="1" ht="40.200000000000003" customHeight="1" x14ac:dyDescent="0.3">
      <c r="A450" s="104">
        <f t="shared" si="8"/>
        <v>295</v>
      </c>
      <c r="B450" s="209"/>
      <c r="C450" s="148" t="s">
        <v>503</v>
      </c>
      <c r="D450" s="148" t="s">
        <v>498</v>
      </c>
      <c r="E450" s="146" t="s">
        <v>12</v>
      </c>
      <c r="F450" s="105">
        <v>18924.075000000001</v>
      </c>
      <c r="G450" s="105">
        <v>0</v>
      </c>
      <c r="H450" s="105">
        <v>0</v>
      </c>
      <c r="I450" s="105">
        <v>18924.075000000001</v>
      </c>
      <c r="J450" s="105">
        <v>0</v>
      </c>
      <c r="K450" s="148" t="s">
        <v>359</v>
      </c>
    </row>
    <row r="451" spans="1:11" s="47" customFormat="1" ht="16.2" customHeight="1" x14ac:dyDescent="0.3">
      <c r="A451" s="213" t="s">
        <v>57</v>
      </c>
      <c r="B451" s="213"/>
      <c r="C451" s="213"/>
      <c r="D451" s="213"/>
      <c r="E451" s="147"/>
      <c r="F451" s="106"/>
      <c r="G451" s="107">
        <f>SUM(G430:G450)</f>
        <v>28602.773629999996</v>
      </c>
      <c r="H451" s="107"/>
      <c r="I451" s="107"/>
      <c r="J451" s="107"/>
      <c r="K451" s="147"/>
    </row>
    <row r="452" spans="1:11" s="49" customFormat="1" ht="19.2" customHeight="1" x14ac:dyDescent="0.3">
      <c r="A452" s="214" t="s">
        <v>62</v>
      </c>
      <c r="B452" s="215"/>
      <c r="C452" s="215"/>
      <c r="D452" s="215"/>
      <c r="E452" s="147"/>
      <c r="F452" s="106"/>
      <c r="G452" s="106"/>
      <c r="H452" s="107">
        <f>SUM(H430:H450)</f>
        <v>52272.483919999999</v>
      </c>
      <c r="I452" s="107"/>
      <c r="J452" s="107"/>
      <c r="K452" s="147"/>
    </row>
    <row r="453" spans="1:11" s="49" customFormat="1" ht="15.6" customHeight="1" x14ac:dyDescent="0.3">
      <c r="A453" s="214" t="s">
        <v>19</v>
      </c>
      <c r="B453" s="215"/>
      <c r="C453" s="215"/>
      <c r="D453" s="215"/>
      <c r="E453" s="147"/>
      <c r="F453" s="106"/>
      <c r="G453" s="106"/>
      <c r="H453" s="107"/>
      <c r="I453" s="107">
        <f>SUM(I430:I450)</f>
        <v>52133.283920000002</v>
      </c>
      <c r="J453" s="107"/>
      <c r="K453" s="147"/>
    </row>
    <row r="454" spans="1:11" s="46" customFormat="1" ht="67.2" customHeight="1" x14ac:dyDescent="0.3">
      <c r="A454" s="104">
        <v>296</v>
      </c>
      <c r="B454" s="209" t="s">
        <v>504</v>
      </c>
      <c r="C454" s="148" t="s">
        <v>505</v>
      </c>
      <c r="D454" s="148" t="s">
        <v>93</v>
      </c>
      <c r="E454" s="146" t="s">
        <v>12</v>
      </c>
      <c r="F454" s="105">
        <v>660.65</v>
      </c>
      <c r="G454" s="105">
        <v>660.65</v>
      </c>
      <c r="H454" s="105">
        <v>0</v>
      </c>
      <c r="I454" s="105">
        <v>0</v>
      </c>
      <c r="J454" s="105">
        <v>0</v>
      </c>
      <c r="K454" s="148" t="s">
        <v>69</v>
      </c>
    </row>
    <row r="455" spans="1:11" s="46" customFormat="1" ht="40.200000000000003" customHeight="1" x14ac:dyDescent="0.3">
      <c r="A455" s="104">
        <f>A454+1</f>
        <v>297</v>
      </c>
      <c r="B455" s="209"/>
      <c r="C455" s="148" t="s">
        <v>506</v>
      </c>
      <c r="D455" s="148" t="s">
        <v>91</v>
      </c>
      <c r="E455" s="146" t="s">
        <v>12</v>
      </c>
      <c r="F455" s="105">
        <v>425.85940000000005</v>
      </c>
      <c r="G455" s="105">
        <v>425.85940000000005</v>
      </c>
      <c r="H455" s="105">
        <v>0</v>
      </c>
      <c r="I455" s="105">
        <v>0</v>
      </c>
      <c r="J455" s="105">
        <v>0</v>
      </c>
      <c r="K455" s="148" t="s">
        <v>72</v>
      </c>
    </row>
    <row r="456" spans="1:11" s="46" customFormat="1" ht="40.200000000000003" customHeight="1" x14ac:dyDescent="0.3">
      <c r="A456" s="104">
        <f t="shared" ref="A456:A463" si="9">A455+1</f>
        <v>298</v>
      </c>
      <c r="B456" s="209"/>
      <c r="C456" s="148" t="s">
        <v>507</v>
      </c>
      <c r="D456" s="148" t="s">
        <v>286</v>
      </c>
      <c r="E456" s="146" t="s">
        <v>12</v>
      </c>
      <c r="F456" s="105">
        <v>646.18323999999996</v>
      </c>
      <c r="G456" s="105">
        <v>646.18323999999996</v>
      </c>
      <c r="H456" s="105">
        <v>0</v>
      </c>
      <c r="I456" s="105">
        <v>0</v>
      </c>
      <c r="J456" s="105">
        <v>0</v>
      </c>
      <c r="K456" s="148" t="s">
        <v>72</v>
      </c>
    </row>
    <row r="457" spans="1:11" s="46" customFormat="1" ht="40.200000000000003" customHeight="1" x14ac:dyDescent="0.3">
      <c r="A457" s="104">
        <f t="shared" si="9"/>
        <v>299</v>
      </c>
      <c r="B457" s="209"/>
      <c r="C457" s="148" t="s">
        <v>508</v>
      </c>
      <c r="D457" s="148" t="s">
        <v>290</v>
      </c>
      <c r="E457" s="146" t="s">
        <v>12</v>
      </c>
      <c r="F457" s="105">
        <v>1728.498</v>
      </c>
      <c r="G457" s="105">
        <v>1728.498</v>
      </c>
      <c r="H457" s="105">
        <v>0</v>
      </c>
      <c r="I457" s="105">
        <v>0</v>
      </c>
      <c r="J457" s="105">
        <v>0</v>
      </c>
      <c r="K457" s="148" t="s">
        <v>69</v>
      </c>
    </row>
    <row r="458" spans="1:11" s="46" customFormat="1" ht="52.8" customHeight="1" x14ac:dyDescent="0.3">
      <c r="A458" s="104">
        <f t="shared" si="9"/>
        <v>300</v>
      </c>
      <c r="B458" s="209"/>
      <c r="C458" s="148" t="s">
        <v>509</v>
      </c>
      <c r="D458" s="148" t="s">
        <v>450</v>
      </c>
      <c r="E458" s="146" t="s">
        <v>12</v>
      </c>
      <c r="F458" s="105">
        <v>4345</v>
      </c>
      <c r="G458" s="105">
        <v>4345</v>
      </c>
      <c r="H458" s="105">
        <v>0</v>
      </c>
      <c r="I458" s="105">
        <v>0</v>
      </c>
      <c r="J458" s="105">
        <v>0</v>
      </c>
      <c r="K458" s="148" t="s">
        <v>72</v>
      </c>
    </row>
    <row r="459" spans="1:11" s="46" customFormat="1" ht="40.200000000000003" customHeight="1" x14ac:dyDescent="0.3">
      <c r="A459" s="104">
        <f t="shared" si="9"/>
        <v>301</v>
      </c>
      <c r="B459" s="209"/>
      <c r="C459" s="148" t="s">
        <v>510</v>
      </c>
      <c r="D459" s="148" t="s">
        <v>511</v>
      </c>
      <c r="E459" s="146" t="s">
        <v>12</v>
      </c>
      <c r="F459" s="105">
        <v>1873.046</v>
      </c>
      <c r="G459" s="105">
        <v>1873.046</v>
      </c>
      <c r="H459" s="105">
        <v>0</v>
      </c>
      <c r="I459" s="105">
        <v>0</v>
      </c>
      <c r="J459" s="105">
        <v>0</v>
      </c>
      <c r="K459" s="148" t="s">
        <v>72</v>
      </c>
    </row>
    <row r="460" spans="1:11" s="46" customFormat="1" ht="40.200000000000003" customHeight="1" x14ac:dyDescent="0.3">
      <c r="A460" s="104">
        <f t="shared" si="9"/>
        <v>302</v>
      </c>
      <c r="B460" s="209"/>
      <c r="C460" s="148" t="s">
        <v>512</v>
      </c>
      <c r="D460" s="148" t="s">
        <v>286</v>
      </c>
      <c r="E460" s="146" t="s">
        <v>12</v>
      </c>
      <c r="F460" s="105">
        <v>3126.0940000000001</v>
      </c>
      <c r="G460" s="105">
        <v>0</v>
      </c>
      <c r="H460" s="105">
        <v>3126.0940000000001</v>
      </c>
      <c r="I460" s="105">
        <v>0</v>
      </c>
      <c r="J460" s="105">
        <v>0</v>
      </c>
      <c r="K460" s="148" t="s">
        <v>316</v>
      </c>
    </row>
    <row r="461" spans="1:11" s="46" customFormat="1" ht="40.200000000000003" customHeight="1" x14ac:dyDescent="0.3">
      <c r="A461" s="104">
        <f t="shared" si="9"/>
        <v>303</v>
      </c>
      <c r="B461" s="209"/>
      <c r="C461" s="148" t="s">
        <v>513</v>
      </c>
      <c r="D461" s="148" t="s">
        <v>369</v>
      </c>
      <c r="E461" s="146" t="s">
        <v>12</v>
      </c>
      <c r="F461" s="105">
        <v>7946.5445799999998</v>
      </c>
      <c r="G461" s="105">
        <v>0</v>
      </c>
      <c r="H461" s="105">
        <v>7946.5445799999998</v>
      </c>
      <c r="I461" s="105">
        <v>0</v>
      </c>
      <c r="J461" s="105">
        <v>0</v>
      </c>
      <c r="K461" s="148" t="s">
        <v>282</v>
      </c>
    </row>
    <row r="462" spans="1:11" s="46" customFormat="1" ht="40.200000000000003" customHeight="1" x14ac:dyDescent="0.3">
      <c r="A462" s="104">
        <f t="shared" si="9"/>
        <v>304</v>
      </c>
      <c r="B462" s="209"/>
      <c r="C462" s="148" t="s">
        <v>514</v>
      </c>
      <c r="D462" s="148" t="s">
        <v>286</v>
      </c>
      <c r="E462" s="146" t="s">
        <v>12</v>
      </c>
      <c r="F462" s="105">
        <v>3126.0940000000001</v>
      </c>
      <c r="G462" s="105">
        <v>0</v>
      </c>
      <c r="H462" s="105">
        <v>0</v>
      </c>
      <c r="I462" s="105">
        <v>3126.0940000000001</v>
      </c>
      <c r="J462" s="105">
        <v>0</v>
      </c>
      <c r="K462" s="148" t="s">
        <v>359</v>
      </c>
    </row>
    <row r="463" spans="1:11" s="46" customFormat="1" ht="40.200000000000003" customHeight="1" x14ac:dyDescent="0.3">
      <c r="A463" s="104">
        <f t="shared" si="9"/>
        <v>305</v>
      </c>
      <c r="B463" s="209"/>
      <c r="C463" s="148" t="s">
        <v>515</v>
      </c>
      <c r="D463" s="148" t="s">
        <v>369</v>
      </c>
      <c r="E463" s="146" t="s">
        <v>12</v>
      </c>
      <c r="F463" s="105">
        <v>7946.5445799999998</v>
      </c>
      <c r="G463" s="105">
        <v>0</v>
      </c>
      <c r="H463" s="105">
        <v>0</v>
      </c>
      <c r="I463" s="105">
        <v>7946.5445799999998</v>
      </c>
      <c r="J463" s="105">
        <v>0</v>
      </c>
      <c r="K463" s="148" t="s">
        <v>359</v>
      </c>
    </row>
    <row r="464" spans="1:11" s="47" customFormat="1" ht="15.6" customHeight="1" x14ac:dyDescent="0.3">
      <c r="A464" s="213" t="s">
        <v>57</v>
      </c>
      <c r="B464" s="213"/>
      <c r="C464" s="213"/>
      <c r="D464" s="213"/>
      <c r="E464" s="147"/>
      <c r="F464" s="106"/>
      <c r="G464" s="107">
        <f>SUM(G454:G463)</f>
        <v>9679.2366399999992</v>
      </c>
      <c r="H464" s="107"/>
      <c r="I464" s="107"/>
      <c r="J464" s="107"/>
      <c r="K464" s="147"/>
    </row>
    <row r="465" spans="1:11" s="49" customFormat="1" ht="19.95" customHeight="1" x14ac:dyDescent="0.3">
      <c r="A465" s="214" t="s">
        <v>62</v>
      </c>
      <c r="B465" s="215"/>
      <c r="C465" s="215"/>
      <c r="D465" s="215"/>
      <c r="E465" s="147"/>
      <c r="F465" s="106"/>
      <c r="G465" s="106"/>
      <c r="H465" s="107">
        <f>SUM(H454:H463)</f>
        <v>11072.638579999999</v>
      </c>
      <c r="I465" s="107"/>
      <c r="J465" s="107"/>
      <c r="K465" s="147"/>
    </row>
    <row r="466" spans="1:11" s="49" customFormat="1" ht="15" customHeight="1" x14ac:dyDescent="0.3">
      <c r="A466" s="214" t="s">
        <v>19</v>
      </c>
      <c r="B466" s="215"/>
      <c r="C466" s="215"/>
      <c r="D466" s="215"/>
      <c r="E466" s="147"/>
      <c r="F466" s="106"/>
      <c r="G466" s="106"/>
      <c r="H466" s="107"/>
      <c r="I466" s="107">
        <f>SUM(I454:I463)</f>
        <v>11072.638579999999</v>
      </c>
      <c r="J466" s="107"/>
      <c r="K466" s="147"/>
    </row>
    <row r="467" spans="1:11" s="46" customFormat="1" ht="33.6" customHeight="1" x14ac:dyDescent="0.3">
      <c r="A467" s="104">
        <v>306</v>
      </c>
      <c r="B467" s="209" t="s">
        <v>516</v>
      </c>
      <c r="C467" s="148" t="s">
        <v>517</v>
      </c>
      <c r="D467" s="148" t="s">
        <v>394</v>
      </c>
      <c r="E467" s="146" t="s">
        <v>12</v>
      </c>
      <c r="F467" s="105">
        <v>1000</v>
      </c>
      <c r="G467" s="105">
        <v>1000</v>
      </c>
      <c r="H467" s="105">
        <v>0</v>
      </c>
      <c r="I467" s="105">
        <v>0</v>
      </c>
      <c r="J467" s="105">
        <v>0</v>
      </c>
      <c r="K467" s="148" t="s">
        <v>72</v>
      </c>
    </row>
    <row r="468" spans="1:11" s="46" customFormat="1" ht="38.4" customHeight="1" x14ac:dyDescent="0.3">
      <c r="A468" s="104">
        <f>A467+1</f>
        <v>307</v>
      </c>
      <c r="B468" s="209"/>
      <c r="C468" s="148" t="s">
        <v>518</v>
      </c>
      <c r="D468" s="148" t="s">
        <v>286</v>
      </c>
      <c r="E468" s="146" t="s">
        <v>12</v>
      </c>
      <c r="F468" s="105">
        <v>10899.87228</v>
      </c>
      <c r="G468" s="105">
        <v>10899.87228</v>
      </c>
      <c r="H468" s="105">
        <v>0</v>
      </c>
      <c r="I468" s="105">
        <v>0</v>
      </c>
      <c r="J468" s="105">
        <v>0</v>
      </c>
      <c r="K468" s="148" t="s">
        <v>72</v>
      </c>
    </row>
    <row r="469" spans="1:11" s="46" customFormat="1" ht="76.2" customHeight="1" x14ac:dyDescent="0.3">
      <c r="A469" s="104">
        <f t="shared" ref="A469:A477" si="10">A468+1</f>
        <v>308</v>
      </c>
      <c r="B469" s="209"/>
      <c r="C469" s="148" t="s">
        <v>519</v>
      </c>
      <c r="D469" s="148" t="s">
        <v>520</v>
      </c>
      <c r="E469" s="146" t="s">
        <v>12</v>
      </c>
      <c r="F469" s="105">
        <v>133</v>
      </c>
      <c r="G469" s="105">
        <v>49</v>
      </c>
      <c r="H469" s="105">
        <v>84</v>
      </c>
      <c r="I469" s="105">
        <v>0</v>
      </c>
      <c r="J469" s="105">
        <v>0</v>
      </c>
      <c r="K469" s="148" t="s">
        <v>72</v>
      </c>
    </row>
    <row r="470" spans="1:11" s="46" customFormat="1" ht="76.2" customHeight="1" x14ac:dyDescent="0.3">
      <c r="A470" s="104">
        <f t="shared" si="10"/>
        <v>309</v>
      </c>
      <c r="B470" s="209"/>
      <c r="C470" s="148" t="s">
        <v>521</v>
      </c>
      <c r="D470" s="148" t="s">
        <v>229</v>
      </c>
      <c r="E470" s="146" t="s">
        <v>12</v>
      </c>
      <c r="F470" s="105">
        <v>1240.605</v>
      </c>
      <c r="G470" s="105">
        <v>1240.605</v>
      </c>
      <c r="H470" s="105">
        <v>0</v>
      </c>
      <c r="I470" s="105">
        <v>0</v>
      </c>
      <c r="J470" s="105">
        <v>0</v>
      </c>
      <c r="K470" s="148" t="s">
        <v>72</v>
      </c>
    </row>
    <row r="471" spans="1:11" s="46" customFormat="1" ht="26.4" x14ac:dyDescent="0.3">
      <c r="A471" s="104">
        <f t="shared" si="10"/>
        <v>310</v>
      </c>
      <c r="B471" s="209"/>
      <c r="C471" s="148" t="s">
        <v>522</v>
      </c>
      <c r="D471" s="148" t="s">
        <v>300</v>
      </c>
      <c r="E471" s="146" t="s">
        <v>12</v>
      </c>
      <c r="F471" s="105">
        <v>4261.83</v>
      </c>
      <c r="G471" s="105">
        <v>4261.83</v>
      </c>
      <c r="H471" s="105">
        <v>0</v>
      </c>
      <c r="I471" s="105">
        <v>0</v>
      </c>
      <c r="J471" s="105">
        <v>0</v>
      </c>
      <c r="K471" s="148" t="s">
        <v>72</v>
      </c>
    </row>
    <row r="472" spans="1:11" s="46" customFormat="1" ht="26.4" x14ac:dyDescent="0.3">
      <c r="A472" s="104">
        <f t="shared" si="10"/>
        <v>311</v>
      </c>
      <c r="B472" s="209"/>
      <c r="C472" s="148" t="s">
        <v>523</v>
      </c>
      <c r="D472" s="148" t="s">
        <v>323</v>
      </c>
      <c r="E472" s="146" t="s">
        <v>12</v>
      </c>
      <c r="F472" s="105">
        <v>10392.950000000001</v>
      </c>
      <c r="G472" s="105">
        <v>10392.950000000001</v>
      </c>
      <c r="H472" s="105">
        <v>0</v>
      </c>
      <c r="I472" s="105">
        <v>0</v>
      </c>
      <c r="J472" s="105">
        <v>0</v>
      </c>
      <c r="K472" s="148" t="s">
        <v>72</v>
      </c>
    </row>
    <row r="473" spans="1:11" s="46" customFormat="1" ht="37.799999999999997" customHeight="1" x14ac:dyDescent="0.3">
      <c r="A473" s="104">
        <f t="shared" si="10"/>
        <v>312</v>
      </c>
      <c r="B473" s="209"/>
      <c r="C473" s="148" t="s">
        <v>524</v>
      </c>
      <c r="D473" s="148" t="s">
        <v>323</v>
      </c>
      <c r="E473" s="146" t="s">
        <v>12</v>
      </c>
      <c r="F473" s="105">
        <v>14148.555</v>
      </c>
      <c r="G473" s="105">
        <v>14148.555</v>
      </c>
      <c r="H473" s="105">
        <v>0</v>
      </c>
      <c r="I473" s="105">
        <v>0</v>
      </c>
      <c r="J473" s="105">
        <v>0</v>
      </c>
      <c r="K473" s="148" t="s">
        <v>72</v>
      </c>
    </row>
    <row r="474" spans="1:11" s="46" customFormat="1" ht="84.6" customHeight="1" x14ac:dyDescent="0.3">
      <c r="A474" s="104">
        <f t="shared" si="10"/>
        <v>313</v>
      </c>
      <c r="B474" s="209"/>
      <c r="C474" s="148" t="s">
        <v>525</v>
      </c>
      <c r="D474" s="148" t="s">
        <v>526</v>
      </c>
      <c r="E474" s="146" t="s">
        <v>12</v>
      </c>
      <c r="F474" s="105">
        <v>33860.798000000003</v>
      </c>
      <c r="G474" s="105">
        <v>0</v>
      </c>
      <c r="H474" s="105">
        <v>16930.399000000001</v>
      </c>
      <c r="I474" s="105">
        <v>16930.399000000001</v>
      </c>
      <c r="J474" s="105">
        <v>0</v>
      </c>
      <c r="K474" s="148" t="s">
        <v>316</v>
      </c>
    </row>
    <row r="475" spans="1:11" s="46" customFormat="1" ht="26.4" x14ac:dyDescent="0.3">
      <c r="A475" s="104">
        <f t="shared" si="10"/>
        <v>314</v>
      </c>
      <c r="B475" s="209"/>
      <c r="C475" s="148" t="s">
        <v>527</v>
      </c>
      <c r="D475" s="148" t="s">
        <v>286</v>
      </c>
      <c r="E475" s="146" t="s">
        <v>12</v>
      </c>
      <c r="F475" s="105">
        <v>29659.740559999998</v>
      </c>
      <c r="G475" s="105">
        <v>0</v>
      </c>
      <c r="H475" s="105">
        <v>14829.870279999999</v>
      </c>
      <c r="I475" s="105">
        <v>14829.870279999999</v>
      </c>
      <c r="J475" s="105">
        <v>0</v>
      </c>
      <c r="K475" s="148" t="s">
        <v>282</v>
      </c>
    </row>
    <row r="476" spans="1:11" s="46" customFormat="1" ht="26.4" x14ac:dyDescent="0.3">
      <c r="A476" s="104">
        <f t="shared" si="10"/>
        <v>315</v>
      </c>
      <c r="B476" s="209"/>
      <c r="C476" s="148" t="s">
        <v>528</v>
      </c>
      <c r="D476" s="148" t="s">
        <v>394</v>
      </c>
      <c r="E476" s="146" t="s">
        <v>12</v>
      </c>
      <c r="F476" s="105">
        <v>21324.9352</v>
      </c>
      <c r="G476" s="105">
        <v>0</v>
      </c>
      <c r="H476" s="105">
        <v>10662.4676</v>
      </c>
      <c r="I476" s="105">
        <v>10662.4676</v>
      </c>
      <c r="J476" s="105">
        <v>0</v>
      </c>
      <c r="K476" s="148" t="s">
        <v>529</v>
      </c>
    </row>
    <row r="477" spans="1:11" s="46" customFormat="1" ht="26.4" x14ac:dyDescent="0.3">
      <c r="A477" s="104">
        <f t="shared" si="10"/>
        <v>316</v>
      </c>
      <c r="B477" s="209"/>
      <c r="C477" s="148" t="s">
        <v>530</v>
      </c>
      <c r="D477" s="148" t="s">
        <v>49</v>
      </c>
      <c r="E477" s="146" t="s">
        <v>12</v>
      </c>
      <c r="F477" s="105">
        <v>6504.2267599999996</v>
      </c>
      <c r="G477" s="105">
        <v>0</v>
      </c>
      <c r="H477" s="105">
        <v>3000</v>
      </c>
      <c r="I477" s="105">
        <v>3504.2267599999996</v>
      </c>
      <c r="J477" s="105">
        <v>0</v>
      </c>
      <c r="K477" s="148" t="s">
        <v>316</v>
      </c>
    </row>
    <row r="478" spans="1:11" s="47" customFormat="1" ht="17.399999999999999" customHeight="1" x14ac:dyDescent="0.3">
      <c r="A478" s="213" t="s">
        <v>57</v>
      </c>
      <c r="B478" s="213"/>
      <c r="C478" s="213"/>
      <c r="D478" s="213"/>
      <c r="E478" s="147"/>
      <c r="F478" s="106"/>
      <c r="G478" s="107">
        <f>SUM(G467:G477)</f>
        <v>41992.812279999998</v>
      </c>
      <c r="H478" s="107"/>
      <c r="I478" s="107"/>
      <c r="J478" s="107"/>
      <c r="K478" s="147"/>
    </row>
    <row r="479" spans="1:11" s="49" customFormat="1" ht="16.95" customHeight="1" x14ac:dyDescent="0.3">
      <c r="A479" s="214" t="s">
        <v>62</v>
      </c>
      <c r="B479" s="215"/>
      <c r="C479" s="215"/>
      <c r="D479" s="215"/>
      <c r="E479" s="147"/>
      <c r="F479" s="106"/>
      <c r="G479" s="106"/>
      <c r="H479" s="107">
        <f>SUM(H467:H477)</f>
        <v>45506.736879999997</v>
      </c>
      <c r="I479" s="107"/>
      <c r="J479" s="107"/>
      <c r="K479" s="147"/>
    </row>
    <row r="480" spans="1:11" s="49" customFormat="1" ht="18.600000000000001" customHeight="1" x14ac:dyDescent="0.3">
      <c r="A480" s="214" t="s">
        <v>19</v>
      </c>
      <c r="B480" s="215"/>
      <c r="C480" s="215"/>
      <c r="D480" s="215"/>
      <c r="E480" s="147"/>
      <c r="F480" s="106"/>
      <c r="G480" s="106"/>
      <c r="H480" s="107"/>
      <c r="I480" s="107">
        <f>SUM(I467:I477)</f>
        <v>45926.963639999994</v>
      </c>
      <c r="J480" s="107"/>
      <c r="K480" s="147"/>
    </row>
    <row r="481" spans="1:11" s="46" customFormat="1" ht="58.8" customHeight="1" x14ac:dyDescent="0.3">
      <c r="A481" s="104">
        <v>317</v>
      </c>
      <c r="B481" s="209" t="s">
        <v>531</v>
      </c>
      <c r="C481" s="148" t="s">
        <v>532</v>
      </c>
      <c r="D481" s="148" t="s">
        <v>93</v>
      </c>
      <c r="E481" s="146" t="s">
        <v>12</v>
      </c>
      <c r="F481" s="105">
        <v>3003.1</v>
      </c>
      <c r="G481" s="105">
        <v>3003.1</v>
      </c>
      <c r="H481" s="105">
        <v>0</v>
      </c>
      <c r="I481" s="105">
        <v>0</v>
      </c>
      <c r="J481" s="105">
        <v>0</v>
      </c>
      <c r="K481" s="148" t="s">
        <v>69</v>
      </c>
    </row>
    <row r="482" spans="1:11" s="46" customFormat="1" ht="35.4" customHeight="1" x14ac:dyDescent="0.3">
      <c r="A482" s="104">
        <f>A481+1</f>
        <v>318</v>
      </c>
      <c r="B482" s="209"/>
      <c r="C482" s="148" t="s">
        <v>533</v>
      </c>
      <c r="D482" s="148" t="s">
        <v>286</v>
      </c>
      <c r="E482" s="146" t="s">
        <v>12</v>
      </c>
      <c r="F482" s="105">
        <v>596.20000000000005</v>
      </c>
      <c r="G482" s="105">
        <v>596.20000000000005</v>
      </c>
      <c r="H482" s="105">
        <v>0</v>
      </c>
      <c r="I482" s="105">
        <v>0</v>
      </c>
      <c r="J482" s="105">
        <v>0</v>
      </c>
      <c r="K482" s="148" t="s">
        <v>69</v>
      </c>
    </row>
    <row r="483" spans="1:11" s="46" customFormat="1" ht="40.200000000000003" customHeight="1" x14ac:dyDescent="0.3">
      <c r="A483" s="104">
        <f t="shared" ref="A483:A500" si="11">A482+1</f>
        <v>319</v>
      </c>
      <c r="B483" s="209"/>
      <c r="C483" s="148" t="s">
        <v>534</v>
      </c>
      <c r="D483" s="148" t="s">
        <v>323</v>
      </c>
      <c r="E483" s="146" t="s">
        <v>12</v>
      </c>
      <c r="F483" s="105">
        <v>7827.92</v>
      </c>
      <c r="G483" s="105">
        <v>7827.92</v>
      </c>
      <c r="H483" s="105">
        <v>0</v>
      </c>
      <c r="I483" s="105">
        <v>0</v>
      </c>
      <c r="J483" s="105">
        <v>0</v>
      </c>
      <c r="K483" s="148" t="s">
        <v>72</v>
      </c>
    </row>
    <row r="484" spans="1:11" s="46" customFormat="1" ht="37.200000000000003" customHeight="1" x14ac:dyDescent="0.3">
      <c r="A484" s="104">
        <f t="shared" si="11"/>
        <v>320</v>
      </c>
      <c r="B484" s="209"/>
      <c r="C484" s="148" t="s">
        <v>535</v>
      </c>
      <c r="D484" s="148" t="s">
        <v>323</v>
      </c>
      <c r="E484" s="146" t="s">
        <v>12</v>
      </c>
      <c r="F484" s="105">
        <v>12958.91</v>
      </c>
      <c r="G484" s="105">
        <v>12958.91</v>
      </c>
      <c r="H484" s="105">
        <v>0</v>
      </c>
      <c r="I484" s="105">
        <v>0</v>
      </c>
      <c r="J484" s="105">
        <v>0</v>
      </c>
      <c r="K484" s="148" t="s">
        <v>72</v>
      </c>
    </row>
    <row r="485" spans="1:11" s="46" customFormat="1" ht="40.799999999999997" customHeight="1" x14ac:dyDescent="0.3">
      <c r="A485" s="104">
        <f t="shared" si="11"/>
        <v>321</v>
      </c>
      <c r="B485" s="209"/>
      <c r="C485" s="148" t="s">
        <v>536</v>
      </c>
      <c r="D485" s="148" t="s">
        <v>229</v>
      </c>
      <c r="E485" s="146" t="s">
        <v>12</v>
      </c>
      <c r="F485" s="105">
        <v>365.35003</v>
      </c>
      <c r="G485" s="105">
        <v>365.35003</v>
      </c>
      <c r="H485" s="105">
        <v>0</v>
      </c>
      <c r="I485" s="105">
        <v>0</v>
      </c>
      <c r="J485" s="105">
        <v>0</v>
      </c>
      <c r="K485" s="148" t="s">
        <v>76</v>
      </c>
    </row>
    <row r="486" spans="1:11" s="46" customFormat="1" ht="67.8" customHeight="1" x14ac:dyDescent="0.3">
      <c r="A486" s="104">
        <f t="shared" si="11"/>
        <v>322</v>
      </c>
      <c r="B486" s="209"/>
      <c r="C486" s="148" t="s">
        <v>537</v>
      </c>
      <c r="D486" s="148" t="s">
        <v>538</v>
      </c>
      <c r="E486" s="146" t="s">
        <v>12</v>
      </c>
      <c r="F486" s="105">
        <v>1102.625</v>
      </c>
      <c r="G486" s="105">
        <v>375</v>
      </c>
      <c r="H486" s="105">
        <v>727.625</v>
      </c>
      <c r="I486" s="105">
        <v>0</v>
      </c>
      <c r="J486" s="105">
        <v>0</v>
      </c>
      <c r="K486" s="148" t="s">
        <v>72</v>
      </c>
    </row>
    <row r="487" spans="1:11" s="46" customFormat="1" ht="36" customHeight="1" x14ac:dyDescent="0.3">
      <c r="A487" s="104">
        <f t="shared" si="11"/>
        <v>323</v>
      </c>
      <c r="B487" s="209"/>
      <c r="C487" s="148" t="s">
        <v>539</v>
      </c>
      <c r="D487" s="148" t="s">
        <v>286</v>
      </c>
      <c r="E487" s="146" t="s">
        <v>12</v>
      </c>
      <c r="F487" s="105">
        <v>7739.7880500000001</v>
      </c>
      <c r="G487" s="105">
        <v>7739.7880500000001</v>
      </c>
      <c r="H487" s="105">
        <v>0</v>
      </c>
      <c r="I487" s="105">
        <v>0</v>
      </c>
      <c r="J487" s="105">
        <v>0</v>
      </c>
      <c r="K487" s="148" t="s">
        <v>72</v>
      </c>
    </row>
    <row r="488" spans="1:11" s="46" customFormat="1" ht="36" customHeight="1" x14ac:dyDescent="0.3">
      <c r="A488" s="104">
        <f t="shared" si="11"/>
        <v>324</v>
      </c>
      <c r="B488" s="209"/>
      <c r="C488" s="148" t="s">
        <v>540</v>
      </c>
      <c r="D488" s="148" t="s">
        <v>323</v>
      </c>
      <c r="E488" s="146" t="s">
        <v>12</v>
      </c>
      <c r="F488" s="105">
        <v>1767.645</v>
      </c>
      <c r="G488" s="105">
        <v>1767.645</v>
      </c>
      <c r="H488" s="105">
        <v>0</v>
      </c>
      <c r="I488" s="105">
        <v>0</v>
      </c>
      <c r="J488" s="105">
        <v>0</v>
      </c>
      <c r="K488" s="148" t="s">
        <v>72</v>
      </c>
    </row>
    <row r="489" spans="1:11" s="46" customFormat="1" ht="26.4" x14ac:dyDescent="0.3">
      <c r="A489" s="104">
        <f t="shared" si="11"/>
        <v>325</v>
      </c>
      <c r="B489" s="209"/>
      <c r="C489" s="148" t="s">
        <v>541</v>
      </c>
      <c r="D489" s="148" t="s">
        <v>295</v>
      </c>
      <c r="E489" s="146" t="s">
        <v>12</v>
      </c>
      <c r="F489" s="105">
        <v>724.16</v>
      </c>
      <c r="G489" s="105">
        <v>724.16</v>
      </c>
      <c r="H489" s="105">
        <v>0</v>
      </c>
      <c r="I489" s="105">
        <v>0</v>
      </c>
      <c r="J489" s="105">
        <v>0</v>
      </c>
      <c r="K489" s="148" t="s">
        <v>72</v>
      </c>
    </row>
    <row r="490" spans="1:11" s="46" customFormat="1" ht="26.4" x14ac:dyDescent="0.3">
      <c r="A490" s="104">
        <f t="shared" si="11"/>
        <v>326</v>
      </c>
      <c r="B490" s="209"/>
      <c r="C490" s="148" t="s">
        <v>542</v>
      </c>
      <c r="D490" s="148" t="s">
        <v>286</v>
      </c>
      <c r="E490" s="146" t="s">
        <v>12</v>
      </c>
      <c r="F490" s="105">
        <v>636.5</v>
      </c>
      <c r="G490" s="105">
        <v>636.5</v>
      </c>
      <c r="H490" s="105">
        <v>0</v>
      </c>
      <c r="I490" s="105">
        <v>0</v>
      </c>
      <c r="J490" s="105">
        <v>0</v>
      </c>
      <c r="K490" s="148" t="s">
        <v>72</v>
      </c>
    </row>
    <row r="491" spans="1:11" s="46" customFormat="1" ht="39" customHeight="1" x14ac:dyDescent="0.3">
      <c r="A491" s="104">
        <f t="shared" si="11"/>
        <v>327</v>
      </c>
      <c r="B491" s="209"/>
      <c r="C491" s="148" t="s">
        <v>543</v>
      </c>
      <c r="D491" s="148" t="s">
        <v>286</v>
      </c>
      <c r="E491" s="146" t="s">
        <v>12</v>
      </c>
      <c r="F491" s="105">
        <v>604</v>
      </c>
      <c r="G491" s="105">
        <v>604</v>
      </c>
      <c r="H491" s="105">
        <v>0</v>
      </c>
      <c r="I491" s="105">
        <v>0</v>
      </c>
      <c r="J491" s="105">
        <v>0</v>
      </c>
      <c r="K491" s="148" t="s">
        <v>72</v>
      </c>
    </row>
    <row r="492" spans="1:11" s="46" customFormat="1" ht="40.200000000000003" customHeight="1" x14ac:dyDescent="0.3">
      <c r="A492" s="104">
        <f t="shared" si="11"/>
        <v>328</v>
      </c>
      <c r="B492" s="209"/>
      <c r="C492" s="148" t="s">
        <v>544</v>
      </c>
      <c r="D492" s="148" t="s">
        <v>323</v>
      </c>
      <c r="E492" s="146" t="s">
        <v>12</v>
      </c>
      <c r="F492" s="105">
        <v>2651.81</v>
      </c>
      <c r="G492" s="105">
        <v>2651.81</v>
      </c>
      <c r="H492" s="105">
        <v>0</v>
      </c>
      <c r="I492" s="105">
        <v>0</v>
      </c>
      <c r="J492" s="105">
        <v>0</v>
      </c>
      <c r="K492" s="148" t="s">
        <v>72</v>
      </c>
    </row>
    <row r="493" spans="1:11" s="46" customFormat="1" ht="34.200000000000003" customHeight="1" x14ac:dyDescent="0.3">
      <c r="A493" s="104">
        <f t="shared" si="11"/>
        <v>329</v>
      </c>
      <c r="B493" s="209"/>
      <c r="C493" s="148" t="s">
        <v>545</v>
      </c>
      <c r="D493" s="148" t="s">
        <v>546</v>
      </c>
      <c r="E493" s="146" t="s">
        <v>12</v>
      </c>
      <c r="F493" s="105">
        <v>20786.830000000002</v>
      </c>
      <c r="G493" s="105">
        <v>0</v>
      </c>
      <c r="H493" s="105">
        <v>20786.830000000002</v>
      </c>
      <c r="I493" s="105">
        <v>0</v>
      </c>
      <c r="J493" s="105">
        <v>0</v>
      </c>
      <c r="K493" s="148" t="s">
        <v>282</v>
      </c>
    </row>
    <row r="494" spans="1:11" s="46" customFormat="1" ht="42.6" customHeight="1" x14ac:dyDescent="0.3">
      <c r="A494" s="104">
        <f t="shared" si="11"/>
        <v>330</v>
      </c>
      <c r="B494" s="209"/>
      <c r="C494" s="148" t="s">
        <v>547</v>
      </c>
      <c r="D494" s="148" t="s">
        <v>286</v>
      </c>
      <c r="E494" s="146" t="s">
        <v>12</v>
      </c>
      <c r="F494" s="105">
        <v>596.20000000000005</v>
      </c>
      <c r="G494" s="105">
        <v>0</v>
      </c>
      <c r="H494" s="105">
        <v>596.20000000000005</v>
      </c>
      <c r="I494" s="105">
        <v>0</v>
      </c>
      <c r="J494" s="105">
        <v>0</v>
      </c>
      <c r="K494" s="148" t="s">
        <v>316</v>
      </c>
    </row>
    <row r="495" spans="1:11" s="46" customFormat="1" ht="69" customHeight="1" x14ac:dyDescent="0.3">
      <c r="A495" s="104">
        <f t="shared" si="11"/>
        <v>331</v>
      </c>
      <c r="B495" s="209"/>
      <c r="C495" s="148" t="s">
        <v>548</v>
      </c>
      <c r="D495" s="148" t="s">
        <v>93</v>
      </c>
      <c r="E495" s="146" t="s">
        <v>12</v>
      </c>
      <c r="F495" s="105">
        <v>563.35739999999998</v>
      </c>
      <c r="G495" s="105">
        <v>0</v>
      </c>
      <c r="H495" s="105">
        <v>563.35739999999998</v>
      </c>
      <c r="I495" s="105">
        <v>0</v>
      </c>
      <c r="J495" s="105">
        <v>0</v>
      </c>
      <c r="K495" s="148" t="s">
        <v>316</v>
      </c>
    </row>
    <row r="496" spans="1:11" s="46" customFormat="1" ht="26.4" x14ac:dyDescent="0.3">
      <c r="A496" s="104">
        <f t="shared" si="11"/>
        <v>332</v>
      </c>
      <c r="B496" s="209"/>
      <c r="C496" s="148" t="s">
        <v>549</v>
      </c>
      <c r="D496" s="148" t="s">
        <v>243</v>
      </c>
      <c r="E496" s="146" t="s">
        <v>12</v>
      </c>
      <c r="F496" s="105">
        <v>19035.482</v>
      </c>
      <c r="G496" s="105">
        <v>0</v>
      </c>
      <c r="H496" s="105">
        <v>19035.482</v>
      </c>
      <c r="I496" s="105">
        <v>0</v>
      </c>
      <c r="J496" s="105">
        <v>0</v>
      </c>
      <c r="K496" s="148" t="s">
        <v>316</v>
      </c>
    </row>
    <row r="497" spans="1:11" s="46" customFormat="1" ht="69.599999999999994" customHeight="1" x14ac:dyDescent="0.3">
      <c r="A497" s="104">
        <f t="shared" si="11"/>
        <v>333</v>
      </c>
      <c r="B497" s="209"/>
      <c r="C497" s="148" t="s">
        <v>550</v>
      </c>
      <c r="D497" s="148" t="s">
        <v>93</v>
      </c>
      <c r="E497" s="146" t="s">
        <v>12</v>
      </c>
      <c r="F497" s="105">
        <v>563.35739999999998</v>
      </c>
      <c r="G497" s="105">
        <v>0</v>
      </c>
      <c r="H497" s="105">
        <v>0</v>
      </c>
      <c r="I497" s="105">
        <v>563.35739999999998</v>
      </c>
      <c r="J497" s="105">
        <v>0</v>
      </c>
      <c r="K497" s="148" t="s">
        <v>359</v>
      </c>
    </row>
    <row r="498" spans="1:11" s="46" customFormat="1" ht="26.4" x14ac:dyDescent="0.3">
      <c r="A498" s="104">
        <f t="shared" si="11"/>
        <v>334</v>
      </c>
      <c r="B498" s="209"/>
      <c r="C498" s="148" t="s">
        <v>551</v>
      </c>
      <c r="D498" s="148" t="s">
        <v>286</v>
      </c>
      <c r="E498" s="146" t="s">
        <v>12</v>
      </c>
      <c r="F498" s="105">
        <v>596.20000000000005</v>
      </c>
      <c r="G498" s="105">
        <v>0</v>
      </c>
      <c r="H498" s="105">
        <v>0</v>
      </c>
      <c r="I498" s="105">
        <v>596.20000000000005</v>
      </c>
      <c r="J498" s="105">
        <v>0</v>
      </c>
      <c r="K498" s="148" t="s">
        <v>318</v>
      </c>
    </row>
    <row r="499" spans="1:11" s="46" customFormat="1" ht="26.4" x14ac:dyDescent="0.3">
      <c r="A499" s="104">
        <f t="shared" si="11"/>
        <v>335</v>
      </c>
      <c r="B499" s="209"/>
      <c r="C499" s="148" t="s">
        <v>552</v>
      </c>
      <c r="D499" s="148" t="s">
        <v>243</v>
      </c>
      <c r="E499" s="146" t="s">
        <v>12</v>
      </c>
      <c r="F499" s="105">
        <v>19035.482</v>
      </c>
      <c r="G499" s="105">
        <v>0</v>
      </c>
      <c r="H499" s="105">
        <v>0</v>
      </c>
      <c r="I499" s="105">
        <v>19035.482</v>
      </c>
      <c r="J499" s="105">
        <v>0</v>
      </c>
      <c r="K499" s="148" t="s">
        <v>359</v>
      </c>
    </row>
    <row r="500" spans="1:11" s="46" customFormat="1" ht="26.4" x14ac:dyDescent="0.3">
      <c r="A500" s="104">
        <f t="shared" si="11"/>
        <v>336</v>
      </c>
      <c r="B500" s="209"/>
      <c r="C500" s="148" t="s">
        <v>553</v>
      </c>
      <c r="D500" s="148" t="s">
        <v>546</v>
      </c>
      <c r="E500" s="146" t="s">
        <v>12</v>
      </c>
      <c r="F500" s="105">
        <v>20786.830000000002</v>
      </c>
      <c r="G500" s="105">
        <v>0</v>
      </c>
      <c r="H500" s="105">
        <v>0</v>
      </c>
      <c r="I500" s="105">
        <v>20786.830000000002</v>
      </c>
      <c r="J500" s="105">
        <v>0</v>
      </c>
      <c r="K500" s="148" t="s">
        <v>318</v>
      </c>
    </row>
    <row r="501" spans="1:11" s="47" customFormat="1" ht="14.4" customHeight="1" x14ac:dyDescent="0.3">
      <c r="A501" s="213" t="s">
        <v>57</v>
      </c>
      <c r="B501" s="213"/>
      <c r="C501" s="213"/>
      <c r="D501" s="213"/>
      <c r="E501" s="147"/>
      <c r="F501" s="106"/>
      <c r="G501" s="107">
        <f>SUM(G481:G500)</f>
        <v>39250.38308</v>
      </c>
      <c r="H501" s="107"/>
      <c r="I501" s="107"/>
      <c r="J501" s="107"/>
      <c r="K501" s="147"/>
    </row>
    <row r="502" spans="1:11" s="49" customFormat="1" ht="13.95" customHeight="1" x14ac:dyDescent="0.3">
      <c r="A502" s="214" t="s">
        <v>62</v>
      </c>
      <c r="B502" s="215"/>
      <c r="C502" s="215"/>
      <c r="D502" s="215"/>
      <c r="E502" s="147"/>
      <c r="F502" s="106"/>
      <c r="G502" s="106"/>
      <c r="H502" s="107">
        <f>SUM(H481:H500)</f>
        <v>41709.494400000003</v>
      </c>
      <c r="I502" s="107"/>
      <c r="J502" s="107"/>
      <c r="K502" s="147"/>
    </row>
    <row r="503" spans="1:11" s="49" customFormat="1" ht="16.95" customHeight="1" x14ac:dyDescent="0.3">
      <c r="A503" s="214" t="s">
        <v>19</v>
      </c>
      <c r="B503" s="215"/>
      <c r="C503" s="215"/>
      <c r="D503" s="215"/>
      <c r="E503" s="147"/>
      <c r="F503" s="106"/>
      <c r="G503" s="106"/>
      <c r="H503" s="107"/>
      <c r="I503" s="107">
        <f>SUM(I481:I500)</f>
        <v>40981.869400000003</v>
      </c>
      <c r="J503" s="107"/>
      <c r="K503" s="147"/>
    </row>
    <row r="504" spans="1:11" s="48" customFormat="1" ht="45" customHeight="1" x14ac:dyDescent="0.25">
      <c r="A504" s="108" t="s">
        <v>2536</v>
      </c>
      <c r="B504" s="212" t="s">
        <v>554</v>
      </c>
      <c r="C504" s="148" t="s">
        <v>555</v>
      </c>
      <c r="D504" s="148" t="s">
        <v>556</v>
      </c>
      <c r="E504" s="148" t="s">
        <v>12</v>
      </c>
      <c r="F504" s="105">
        <v>4497.4350000000004</v>
      </c>
      <c r="G504" s="105">
        <v>4497.4350000000004</v>
      </c>
      <c r="H504" s="105">
        <v>0</v>
      </c>
      <c r="I504" s="105">
        <v>0</v>
      </c>
      <c r="J504" s="105">
        <v>0</v>
      </c>
      <c r="K504" s="148" t="s">
        <v>76</v>
      </c>
    </row>
    <row r="505" spans="1:11" s="48" customFormat="1" ht="43.2" customHeight="1" x14ac:dyDescent="0.25">
      <c r="A505" s="108" t="s">
        <v>2537</v>
      </c>
      <c r="B505" s="212"/>
      <c r="C505" s="148" t="s">
        <v>557</v>
      </c>
      <c r="D505" s="148" t="s">
        <v>91</v>
      </c>
      <c r="E505" s="148" t="s">
        <v>12</v>
      </c>
      <c r="F505" s="105">
        <v>252.827</v>
      </c>
      <c r="G505" s="105">
        <v>252.827</v>
      </c>
      <c r="H505" s="105">
        <v>0</v>
      </c>
      <c r="I505" s="105">
        <v>0</v>
      </c>
      <c r="J505" s="105">
        <v>0</v>
      </c>
      <c r="K505" s="148" t="s">
        <v>76</v>
      </c>
    </row>
    <row r="506" spans="1:11" s="48" customFormat="1" ht="28.95" customHeight="1" x14ac:dyDescent="0.25">
      <c r="A506" s="108" t="s">
        <v>2538</v>
      </c>
      <c r="B506" s="212"/>
      <c r="C506" s="148" t="s">
        <v>558</v>
      </c>
      <c r="D506" s="148" t="s">
        <v>286</v>
      </c>
      <c r="E506" s="148" t="s">
        <v>12</v>
      </c>
      <c r="F506" s="105">
        <v>407.85996</v>
      </c>
      <c r="G506" s="105">
        <v>407.85996</v>
      </c>
      <c r="H506" s="105">
        <v>0</v>
      </c>
      <c r="I506" s="105">
        <v>0</v>
      </c>
      <c r="J506" s="105">
        <v>0</v>
      </c>
      <c r="K506" s="148" t="s">
        <v>76</v>
      </c>
    </row>
    <row r="507" spans="1:11" s="48" customFormat="1" ht="34.200000000000003" customHeight="1" x14ac:dyDescent="0.25">
      <c r="A507" s="108" t="s">
        <v>2539</v>
      </c>
      <c r="B507" s="212"/>
      <c r="C507" s="148" t="s">
        <v>559</v>
      </c>
      <c r="D507" s="148" t="s">
        <v>560</v>
      </c>
      <c r="E507" s="148" t="s">
        <v>12</v>
      </c>
      <c r="F507" s="105">
        <v>4531.5600000000004</v>
      </c>
      <c r="G507" s="105">
        <v>4531.5600000000004</v>
      </c>
      <c r="H507" s="105">
        <v>0</v>
      </c>
      <c r="I507" s="105">
        <v>0</v>
      </c>
      <c r="J507" s="105">
        <v>0</v>
      </c>
      <c r="K507" s="148" t="s">
        <v>76</v>
      </c>
    </row>
    <row r="508" spans="1:11" s="48" customFormat="1" ht="34.950000000000003" customHeight="1" x14ac:dyDescent="0.25">
      <c r="A508" s="108" t="s">
        <v>2540</v>
      </c>
      <c r="B508" s="212"/>
      <c r="C508" s="148" t="s">
        <v>561</v>
      </c>
      <c r="D508" s="148" t="s">
        <v>243</v>
      </c>
      <c r="E508" s="148" t="s">
        <v>12</v>
      </c>
      <c r="F508" s="105">
        <v>719.55022999999994</v>
      </c>
      <c r="G508" s="105">
        <v>719.55022999999994</v>
      </c>
      <c r="H508" s="105">
        <v>0</v>
      </c>
      <c r="I508" s="105">
        <v>0</v>
      </c>
      <c r="J508" s="105">
        <v>0</v>
      </c>
      <c r="K508" s="148" t="s">
        <v>76</v>
      </c>
    </row>
    <row r="509" spans="1:11" s="48" customFormat="1" ht="34.950000000000003" customHeight="1" x14ac:dyDescent="0.25">
      <c r="A509" s="108" t="s">
        <v>2541</v>
      </c>
      <c r="B509" s="212"/>
      <c r="C509" s="148" t="s">
        <v>562</v>
      </c>
      <c r="D509" s="148" t="s">
        <v>563</v>
      </c>
      <c r="E509" s="148" t="s">
        <v>12</v>
      </c>
      <c r="F509" s="105">
        <v>1145</v>
      </c>
      <c r="G509" s="105">
        <v>1145</v>
      </c>
      <c r="H509" s="105">
        <v>0</v>
      </c>
      <c r="I509" s="105">
        <v>0</v>
      </c>
      <c r="J509" s="105">
        <v>0</v>
      </c>
      <c r="K509" s="148" t="s">
        <v>76</v>
      </c>
    </row>
    <row r="510" spans="1:11" s="48" customFormat="1" ht="43.8" customHeight="1" x14ac:dyDescent="0.25">
      <c r="A510" s="108" t="s">
        <v>2542</v>
      </c>
      <c r="B510" s="212"/>
      <c r="C510" s="148" t="s">
        <v>564</v>
      </c>
      <c r="D510" s="148" t="s">
        <v>565</v>
      </c>
      <c r="E510" s="148" t="s">
        <v>12</v>
      </c>
      <c r="F510" s="105">
        <v>1337.2670000000001</v>
      </c>
      <c r="G510" s="105">
        <v>1337.2670000000001</v>
      </c>
      <c r="H510" s="105">
        <v>0</v>
      </c>
      <c r="I510" s="105">
        <v>0</v>
      </c>
      <c r="J510" s="105">
        <v>0</v>
      </c>
      <c r="K510" s="148" t="s">
        <v>76</v>
      </c>
    </row>
    <row r="511" spans="1:11" s="48" customFormat="1" ht="41.4" customHeight="1" x14ac:dyDescent="0.25">
      <c r="A511" s="108" t="s">
        <v>2543</v>
      </c>
      <c r="B511" s="212"/>
      <c r="C511" s="148" t="s">
        <v>566</v>
      </c>
      <c r="D511" s="148" t="s">
        <v>325</v>
      </c>
      <c r="E511" s="148" t="s">
        <v>12</v>
      </c>
      <c r="F511" s="105">
        <v>2108.4401000000003</v>
      </c>
      <c r="G511" s="105">
        <v>2108.4401000000003</v>
      </c>
      <c r="H511" s="105">
        <v>0</v>
      </c>
      <c r="I511" s="105">
        <v>0</v>
      </c>
      <c r="J511" s="105">
        <v>0</v>
      </c>
      <c r="K511" s="148" t="s">
        <v>76</v>
      </c>
    </row>
    <row r="512" spans="1:11" s="48" customFormat="1" ht="34.799999999999997" customHeight="1" x14ac:dyDescent="0.25">
      <c r="A512" s="108" t="s">
        <v>2544</v>
      </c>
      <c r="B512" s="212"/>
      <c r="C512" s="148" t="s">
        <v>567</v>
      </c>
      <c r="D512" s="148" t="s">
        <v>369</v>
      </c>
      <c r="E512" s="148" t="s">
        <v>12</v>
      </c>
      <c r="F512" s="105">
        <v>1849.5422699999999</v>
      </c>
      <c r="G512" s="105">
        <v>1849.5422699999999</v>
      </c>
      <c r="H512" s="105">
        <v>0</v>
      </c>
      <c r="I512" s="105">
        <v>0</v>
      </c>
      <c r="J512" s="105">
        <v>0</v>
      </c>
      <c r="K512" s="148" t="s">
        <v>76</v>
      </c>
    </row>
    <row r="513" spans="1:11" s="48" customFormat="1" ht="64.2" customHeight="1" x14ac:dyDescent="0.25">
      <c r="A513" s="108" t="s">
        <v>2545</v>
      </c>
      <c r="B513" s="212"/>
      <c r="C513" s="148" t="s">
        <v>568</v>
      </c>
      <c r="D513" s="148" t="s">
        <v>303</v>
      </c>
      <c r="E513" s="148" t="s">
        <v>12</v>
      </c>
      <c r="F513" s="105">
        <v>750</v>
      </c>
      <c r="G513" s="105">
        <v>750</v>
      </c>
      <c r="H513" s="105">
        <v>0</v>
      </c>
      <c r="I513" s="105">
        <v>0</v>
      </c>
      <c r="J513" s="105">
        <v>0</v>
      </c>
      <c r="K513" s="148" t="s">
        <v>76</v>
      </c>
    </row>
    <row r="514" spans="1:11" s="48" customFormat="1" ht="46.2" customHeight="1" x14ac:dyDescent="0.25">
      <c r="A514" s="108" t="s">
        <v>2546</v>
      </c>
      <c r="B514" s="212"/>
      <c r="C514" s="148" t="s">
        <v>569</v>
      </c>
      <c r="D514" s="148" t="s">
        <v>286</v>
      </c>
      <c r="E514" s="148" t="s">
        <v>12</v>
      </c>
      <c r="F514" s="105">
        <v>600.52442000000008</v>
      </c>
      <c r="G514" s="105">
        <v>600.52442000000008</v>
      </c>
      <c r="H514" s="105">
        <v>0</v>
      </c>
      <c r="I514" s="105">
        <v>0</v>
      </c>
      <c r="J514" s="105">
        <v>0</v>
      </c>
      <c r="K514" s="148" t="s">
        <v>76</v>
      </c>
    </row>
    <row r="515" spans="1:11" s="48" customFormat="1" ht="46.2" customHeight="1" x14ac:dyDescent="0.25">
      <c r="A515" s="108" t="s">
        <v>2547</v>
      </c>
      <c r="B515" s="212"/>
      <c r="C515" s="148" t="s">
        <v>570</v>
      </c>
      <c r="D515" s="148" t="s">
        <v>571</v>
      </c>
      <c r="E515" s="148" t="s">
        <v>12</v>
      </c>
      <c r="F515" s="105">
        <v>735</v>
      </c>
      <c r="G515" s="105">
        <v>735</v>
      </c>
      <c r="H515" s="105">
        <v>0</v>
      </c>
      <c r="I515" s="105">
        <v>0</v>
      </c>
      <c r="J515" s="105">
        <v>0</v>
      </c>
      <c r="K515" s="148" t="s">
        <v>76</v>
      </c>
    </row>
    <row r="516" spans="1:11" s="48" customFormat="1" ht="46.2" customHeight="1" x14ac:dyDescent="0.25">
      <c r="A516" s="108" t="s">
        <v>2548</v>
      </c>
      <c r="B516" s="212"/>
      <c r="C516" s="148" t="s">
        <v>572</v>
      </c>
      <c r="D516" s="148" t="s">
        <v>323</v>
      </c>
      <c r="E516" s="148" t="s">
        <v>12</v>
      </c>
      <c r="F516" s="105">
        <v>3641.6750000000002</v>
      </c>
      <c r="G516" s="105">
        <v>3641.6750000000002</v>
      </c>
      <c r="H516" s="105">
        <v>0</v>
      </c>
      <c r="I516" s="105">
        <v>0</v>
      </c>
      <c r="J516" s="105">
        <v>0</v>
      </c>
      <c r="K516" s="148" t="s">
        <v>76</v>
      </c>
    </row>
    <row r="517" spans="1:11" s="48" customFormat="1" ht="46.2" customHeight="1" x14ac:dyDescent="0.25">
      <c r="A517" s="108" t="s">
        <v>2549</v>
      </c>
      <c r="B517" s="212"/>
      <c r="C517" s="148" t="s">
        <v>573</v>
      </c>
      <c r="D517" s="148" t="s">
        <v>323</v>
      </c>
      <c r="E517" s="148" t="s">
        <v>12</v>
      </c>
      <c r="F517" s="105">
        <v>3641.6750000000002</v>
      </c>
      <c r="G517" s="105">
        <v>3641.6750000000002</v>
      </c>
      <c r="H517" s="105">
        <v>0</v>
      </c>
      <c r="I517" s="105">
        <v>0</v>
      </c>
      <c r="J517" s="105">
        <v>0</v>
      </c>
      <c r="K517" s="148" t="s">
        <v>76</v>
      </c>
    </row>
    <row r="518" spans="1:11" s="47" customFormat="1" ht="16.2" customHeight="1" x14ac:dyDescent="0.3">
      <c r="A518" s="213" t="s">
        <v>57</v>
      </c>
      <c r="B518" s="213"/>
      <c r="C518" s="213"/>
      <c r="D518" s="213"/>
      <c r="E518" s="147"/>
      <c r="F518" s="106"/>
      <c r="G518" s="107">
        <f>SUM(G504:G517)</f>
        <v>26218.35598</v>
      </c>
      <c r="H518" s="107"/>
      <c r="I518" s="107"/>
      <c r="J518" s="107"/>
      <c r="K518" s="147"/>
    </row>
    <row r="519" spans="1:11" s="49" customFormat="1" ht="16.95" customHeight="1" x14ac:dyDescent="0.3">
      <c r="A519" s="214" t="s">
        <v>62</v>
      </c>
      <c r="B519" s="215"/>
      <c r="C519" s="215"/>
      <c r="D519" s="215"/>
      <c r="E519" s="147"/>
      <c r="F519" s="106"/>
      <c r="G519" s="106"/>
      <c r="H519" s="107">
        <f>SUM(H504:H517)</f>
        <v>0</v>
      </c>
      <c r="I519" s="107"/>
      <c r="J519" s="107"/>
      <c r="K519" s="147"/>
    </row>
    <row r="520" spans="1:11" s="49" customFormat="1" ht="15.6" customHeight="1" x14ac:dyDescent="0.3">
      <c r="A520" s="214" t="s">
        <v>19</v>
      </c>
      <c r="B520" s="215"/>
      <c r="C520" s="215"/>
      <c r="D520" s="215"/>
      <c r="E520" s="147"/>
      <c r="F520" s="106"/>
      <c r="G520" s="106"/>
      <c r="H520" s="107"/>
      <c r="I520" s="107">
        <f>SUM(I504:I517)</f>
        <v>0</v>
      </c>
      <c r="J520" s="107"/>
      <c r="K520" s="147"/>
    </row>
    <row r="521" spans="1:11" s="46" customFormat="1" ht="34.200000000000003" customHeight="1" x14ac:dyDescent="0.3">
      <c r="A521" s="104">
        <v>351</v>
      </c>
      <c r="B521" s="209" t="s">
        <v>574</v>
      </c>
      <c r="C521" s="148" t="s">
        <v>575</v>
      </c>
      <c r="D521" s="148" t="s">
        <v>576</v>
      </c>
      <c r="E521" s="146" t="s">
        <v>12</v>
      </c>
      <c r="F521" s="105">
        <v>200</v>
      </c>
      <c r="G521" s="105">
        <v>200</v>
      </c>
      <c r="H521" s="105">
        <v>0</v>
      </c>
      <c r="I521" s="105">
        <v>0</v>
      </c>
      <c r="J521" s="105">
        <v>0</v>
      </c>
      <c r="K521" s="148" t="s">
        <v>76</v>
      </c>
    </row>
    <row r="522" spans="1:11" s="46" customFormat="1" ht="36" customHeight="1" x14ac:dyDescent="0.3">
      <c r="A522" s="104">
        <f>A521+1</f>
        <v>352</v>
      </c>
      <c r="B522" s="209"/>
      <c r="C522" s="148" t="s">
        <v>577</v>
      </c>
      <c r="D522" s="148" t="s">
        <v>369</v>
      </c>
      <c r="E522" s="146" t="s">
        <v>12</v>
      </c>
      <c r="F522" s="105">
        <v>720</v>
      </c>
      <c r="G522" s="105">
        <v>720</v>
      </c>
      <c r="H522" s="105">
        <v>0</v>
      </c>
      <c r="I522" s="105">
        <v>0</v>
      </c>
      <c r="J522" s="105">
        <v>0</v>
      </c>
      <c r="K522" s="148" t="s">
        <v>76</v>
      </c>
    </row>
    <row r="523" spans="1:11" s="46" customFormat="1" ht="39" customHeight="1" x14ac:dyDescent="0.3">
      <c r="A523" s="104">
        <f t="shared" ref="A523:A541" si="12">A522+1</f>
        <v>353</v>
      </c>
      <c r="B523" s="209"/>
      <c r="C523" s="148" t="s">
        <v>578</v>
      </c>
      <c r="D523" s="148" t="s">
        <v>579</v>
      </c>
      <c r="E523" s="146" t="s">
        <v>12</v>
      </c>
      <c r="F523" s="105">
        <v>1500.08007</v>
      </c>
      <c r="G523" s="105">
        <v>1500.08007</v>
      </c>
      <c r="H523" s="105">
        <v>0</v>
      </c>
      <c r="I523" s="105">
        <v>0</v>
      </c>
      <c r="J523" s="105">
        <v>0</v>
      </c>
      <c r="K523" s="148" t="s">
        <v>76</v>
      </c>
    </row>
    <row r="524" spans="1:11" s="46" customFormat="1" ht="42" customHeight="1" x14ac:dyDescent="0.3">
      <c r="A524" s="104">
        <f t="shared" si="12"/>
        <v>354</v>
      </c>
      <c r="B524" s="209"/>
      <c r="C524" s="148" t="s">
        <v>580</v>
      </c>
      <c r="D524" s="148" t="s">
        <v>581</v>
      </c>
      <c r="E524" s="146" t="s">
        <v>12</v>
      </c>
      <c r="F524" s="105">
        <v>3667.6</v>
      </c>
      <c r="G524" s="105">
        <v>3667.6</v>
      </c>
      <c r="H524" s="105">
        <v>0</v>
      </c>
      <c r="I524" s="105">
        <v>0</v>
      </c>
      <c r="J524" s="105">
        <v>0</v>
      </c>
      <c r="K524" s="148" t="s">
        <v>76</v>
      </c>
    </row>
    <row r="525" spans="1:11" s="46" customFormat="1" ht="73.2" customHeight="1" x14ac:dyDescent="0.3">
      <c r="A525" s="104">
        <f t="shared" si="12"/>
        <v>355</v>
      </c>
      <c r="B525" s="209"/>
      <c r="C525" s="148" t="s">
        <v>582</v>
      </c>
      <c r="D525" s="148" t="s">
        <v>583</v>
      </c>
      <c r="E525" s="146" t="s">
        <v>12</v>
      </c>
      <c r="F525" s="105">
        <v>2041</v>
      </c>
      <c r="G525" s="105">
        <v>2041</v>
      </c>
      <c r="H525" s="105">
        <v>0</v>
      </c>
      <c r="I525" s="105">
        <v>0</v>
      </c>
      <c r="J525" s="105">
        <v>0</v>
      </c>
      <c r="K525" s="148" t="s">
        <v>72</v>
      </c>
    </row>
    <row r="526" spans="1:11" s="46" customFormat="1" ht="42" customHeight="1" x14ac:dyDescent="0.3">
      <c r="A526" s="104">
        <f t="shared" si="12"/>
        <v>356</v>
      </c>
      <c r="B526" s="209"/>
      <c r="C526" s="148" t="s">
        <v>584</v>
      </c>
      <c r="D526" s="148" t="s">
        <v>585</v>
      </c>
      <c r="E526" s="146" t="s">
        <v>12</v>
      </c>
      <c r="F526" s="105">
        <v>390</v>
      </c>
      <c r="G526" s="105">
        <v>390</v>
      </c>
      <c r="H526" s="105">
        <v>0</v>
      </c>
      <c r="I526" s="105">
        <v>0</v>
      </c>
      <c r="J526" s="105">
        <v>0</v>
      </c>
      <c r="K526" s="148" t="s">
        <v>76</v>
      </c>
    </row>
    <row r="527" spans="1:11" s="46" customFormat="1" ht="40.799999999999997" customHeight="1" x14ac:dyDescent="0.3">
      <c r="A527" s="104">
        <f t="shared" si="12"/>
        <v>357</v>
      </c>
      <c r="B527" s="209"/>
      <c r="C527" s="148" t="s">
        <v>586</v>
      </c>
      <c r="D527" s="148" t="s">
        <v>585</v>
      </c>
      <c r="E527" s="146" t="s">
        <v>12</v>
      </c>
      <c r="F527" s="105">
        <v>720</v>
      </c>
      <c r="G527" s="105">
        <v>720</v>
      </c>
      <c r="H527" s="105">
        <v>0</v>
      </c>
      <c r="I527" s="105">
        <v>0</v>
      </c>
      <c r="J527" s="105">
        <v>0</v>
      </c>
      <c r="K527" s="148" t="s">
        <v>76</v>
      </c>
    </row>
    <row r="528" spans="1:11" s="46" customFormat="1" ht="26.4" x14ac:dyDescent="0.3">
      <c r="A528" s="104">
        <f t="shared" si="12"/>
        <v>358</v>
      </c>
      <c r="B528" s="209"/>
      <c r="C528" s="148" t="s">
        <v>587</v>
      </c>
      <c r="D528" s="148" t="s">
        <v>369</v>
      </c>
      <c r="E528" s="146" t="s">
        <v>12</v>
      </c>
      <c r="F528" s="105">
        <v>4721.1000000000004</v>
      </c>
      <c r="G528" s="105">
        <v>4721.1000000000004</v>
      </c>
      <c r="H528" s="105">
        <v>0</v>
      </c>
      <c r="I528" s="105">
        <v>0</v>
      </c>
      <c r="J528" s="105">
        <v>0</v>
      </c>
      <c r="K528" s="148" t="s">
        <v>76</v>
      </c>
    </row>
    <row r="529" spans="1:11" s="46" customFormat="1" ht="30" customHeight="1" x14ac:dyDescent="0.3">
      <c r="A529" s="104">
        <f t="shared" si="12"/>
        <v>359</v>
      </c>
      <c r="B529" s="209"/>
      <c r="C529" s="148" t="s">
        <v>588</v>
      </c>
      <c r="D529" s="148" t="s">
        <v>576</v>
      </c>
      <c r="E529" s="146" t="s">
        <v>12</v>
      </c>
      <c r="F529" s="105">
        <v>200</v>
      </c>
      <c r="G529" s="105">
        <v>0</v>
      </c>
      <c r="H529" s="105">
        <v>200</v>
      </c>
      <c r="I529" s="105">
        <v>0</v>
      </c>
      <c r="J529" s="105">
        <v>0</v>
      </c>
      <c r="K529" s="148" t="s">
        <v>282</v>
      </c>
    </row>
    <row r="530" spans="1:11" s="46" customFormat="1" ht="38.4" customHeight="1" x14ac:dyDescent="0.3">
      <c r="A530" s="104">
        <f t="shared" si="12"/>
        <v>360</v>
      </c>
      <c r="B530" s="209"/>
      <c r="C530" s="148" t="s">
        <v>589</v>
      </c>
      <c r="D530" s="148" t="s">
        <v>369</v>
      </c>
      <c r="E530" s="146" t="s">
        <v>12</v>
      </c>
      <c r="F530" s="105">
        <v>720</v>
      </c>
      <c r="G530" s="105">
        <v>0</v>
      </c>
      <c r="H530" s="105">
        <v>720</v>
      </c>
      <c r="I530" s="105">
        <v>0</v>
      </c>
      <c r="J530" s="105">
        <v>0</v>
      </c>
      <c r="K530" s="148" t="s">
        <v>282</v>
      </c>
    </row>
    <row r="531" spans="1:11" s="46" customFormat="1" ht="39.6" customHeight="1" x14ac:dyDescent="0.3">
      <c r="A531" s="104">
        <f t="shared" si="12"/>
        <v>361</v>
      </c>
      <c r="B531" s="209"/>
      <c r="C531" s="148" t="s">
        <v>590</v>
      </c>
      <c r="D531" s="148" t="s">
        <v>579</v>
      </c>
      <c r="E531" s="146" t="s">
        <v>12</v>
      </c>
      <c r="F531" s="105">
        <v>1500.08007</v>
      </c>
      <c r="G531" s="105">
        <v>0</v>
      </c>
      <c r="H531" s="105">
        <v>1500.08007</v>
      </c>
      <c r="I531" s="105">
        <v>0</v>
      </c>
      <c r="J531" s="105">
        <v>0</v>
      </c>
      <c r="K531" s="148" t="s">
        <v>282</v>
      </c>
    </row>
    <row r="532" spans="1:11" s="46" customFormat="1" ht="39.6" customHeight="1" x14ac:dyDescent="0.3">
      <c r="A532" s="104">
        <f t="shared" si="12"/>
        <v>362</v>
      </c>
      <c r="B532" s="209"/>
      <c r="C532" s="148" t="s">
        <v>591</v>
      </c>
      <c r="D532" s="148" t="s">
        <v>581</v>
      </c>
      <c r="E532" s="146" t="s">
        <v>12</v>
      </c>
      <c r="F532" s="105">
        <v>6000</v>
      </c>
      <c r="G532" s="105">
        <v>0</v>
      </c>
      <c r="H532" s="105">
        <v>6000</v>
      </c>
      <c r="I532" s="105">
        <v>0</v>
      </c>
      <c r="J532" s="105">
        <v>0</v>
      </c>
      <c r="K532" s="148" t="s">
        <v>282</v>
      </c>
    </row>
    <row r="533" spans="1:11" s="46" customFormat="1" ht="63" customHeight="1" x14ac:dyDescent="0.3">
      <c r="A533" s="104">
        <f t="shared" si="12"/>
        <v>363</v>
      </c>
      <c r="B533" s="209"/>
      <c r="C533" s="148" t="s">
        <v>592</v>
      </c>
      <c r="D533" s="148" t="s">
        <v>583</v>
      </c>
      <c r="E533" s="146" t="s">
        <v>12</v>
      </c>
      <c r="F533" s="105">
        <v>1000</v>
      </c>
      <c r="G533" s="105">
        <v>0</v>
      </c>
      <c r="H533" s="105">
        <v>1000</v>
      </c>
      <c r="I533" s="105">
        <v>0</v>
      </c>
      <c r="J533" s="105">
        <v>0</v>
      </c>
      <c r="K533" s="148" t="s">
        <v>282</v>
      </c>
    </row>
    <row r="534" spans="1:11" s="46" customFormat="1" ht="26.4" x14ac:dyDescent="0.3">
      <c r="A534" s="104">
        <f t="shared" si="12"/>
        <v>364</v>
      </c>
      <c r="B534" s="209"/>
      <c r="C534" s="148" t="s">
        <v>593</v>
      </c>
      <c r="D534" s="148" t="s">
        <v>594</v>
      </c>
      <c r="E534" s="146" t="s">
        <v>12</v>
      </c>
      <c r="F534" s="105">
        <v>1405.2639999999999</v>
      </c>
      <c r="G534" s="105">
        <v>0</v>
      </c>
      <c r="H534" s="105">
        <v>1405.2639999999999</v>
      </c>
      <c r="I534" s="105">
        <v>0</v>
      </c>
      <c r="J534" s="105">
        <v>0</v>
      </c>
      <c r="K534" s="148" t="s">
        <v>316</v>
      </c>
    </row>
    <row r="535" spans="1:11" s="46" customFormat="1" ht="26.4" x14ac:dyDescent="0.3">
      <c r="A535" s="104">
        <f t="shared" si="12"/>
        <v>365</v>
      </c>
      <c r="B535" s="209"/>
      <c r="C535" s="148" t="s">
        <v>595</v>
      </c>
      <c r="D535" s="148" t="s">
        <v>243</v>
      </c>
      <c r="E535" s="146" t="s">
        <v>12</v>
      </c>
      <c r="F535" s="105">
        <v>12048.811</v>
      </c>
      <c r="G535" s="105">
        <v>0</v>
      </c>
      <c r="H535" s="105">
        <v>12048.811</v>
      </c>
      <c r="I535" s="105">
        <v>0</v>
      </c>
      <c r="J535" s="105">
        <v>0</v>
      </c>
      <c r="K535" s="148" t="s">
        <v>316</v>
      </c>
    </row>
    <row r="536" spans="1:11" s="46" customFormat="1" ht="26.4" x14ac:dyDescent="0.3">
      <c r="A536" s="104">
        <f t="shared" si="12"/>
        <v>366</v>
      </c>
      <c r="B536" s="209"/>
      <c r="C536" s="148" t="s">
        <v>596</v>
      </c>
      <c r="D536" s="148" t="s">
        <v>576</v>
      </c>
      <c r="E536" s="146" t="s">
        <v>12</v>
      </c>
      <c r="F536" s="105">
        <v>200</v>
      </c>
      <c r="G536" s="105">
        <v>0</v>
      </c>
      <c r="H536" s="105">
        <v>0</v>
      </c>
      <c r="I536" s="105">
        <v>200</v>
      </c>
      <c r="J536" s="105">
        <v>0</v>
      </c>
      <c r="K536" s="148" t="s">
        <v>318</v>
      </c>
    </row>
    <row r="537" spans="1:11" s="46" customFormat="1" ht="33.6" customHeight="1" x14ac:dyDescent="0.3">
      <c r="A537" s="104">
        <f t="shared" si="12"/>
        <v>367</v>
      </c>
      <c r="B537" s="209"/>
      <c r="C537" s="148" t="s">
        <v>597</v>
      </c>
      <c r="D537" s="148" t="s">
        <v>369</v>
      </c>
      <c r="E537" s="146" t="s">
        <v>12</v>
      </c>
      <c r="F537" s="105">
        <v>720</v>
      </c>
      <c r="G537" s="105">
        <v>0</v>
      </c>
      <c r="H537" s="105">
        <v>0</v>
      </c>
      <c r="I537" s="105">
        <v>720</v>
      </c>
      <c r="J537" s="105">
        <v>0</v>
      </c>
      <c r="K537" s="148" t="s">
        <v>318</v>
      </c>
    </row>
    <row r="538" spans="1:11" s="46" customFormat="1" ht="38.4" customHeight="1" x14ac:dyDescent="0.3">
      <c r="A538" s="104">
        <f t="shared" si="12"/>
        <v>368</v>
      </c>
      <c r="B538" s="209"/>
      <c r="C538" s="148" t="s">
        <v>598</v>
      </c>
      <c r="D538" s="148" t="s">
        <v>579</v>
      </c>
      <c r="E538" s="146" t="s">
        <v>12</v>
      </c>
      <c r="F538" s="105">
        <v>1500.08007</v>
      </c>
      <c r="G538" s="105">
        <v>0</v>
      </c>
      <c r="H538" s="105">
        <v>0</v>
      </c>
      <c r="I538" s="105">
        <v>1500.08007</v>
      </c>
      <c r="J538" s="105">
        <v>0</v>
      </c>
      <c r="K538" s="148" t="s">
        <v>318</v>
      </c>
    </row>
    <row r="539" spans="1:11" s="46" customFormat="1" ht="36" customHeight="1" x14ac:dyDescent="0.3">
      <c r="A539" s="104">
        <f t="shared" si="12"/>
        <v>369</v>
      </c>
      <c r="B539" s="209"/>
      <c r="C539" s="148" t="s">
        <v>599</v>
      </c>
      <c r="D539" s="148" t="s">
        <v>581</v>
      </c>
      <c r="E539" s="146" t="s">
        <v>12</v>
      </c>
      <c r="F539" s="105">
        <v>6000</v>
      </c>
      <c r="G539" s="105">
        <v>0</v>
      </c>
      <c r="H539" s="105">
        <v>0</v>
      </c>
      <c r="I539" s="105">
        <v>6000</v>
      </c>
      <c r="J539" s="105">
        <v>0</v>
      </c>
      <c r="K539" s="148" t="s">
        <v>318</v>
      </c>
    </row>
    <row r="540" spans="1:11" s="46" customFormat="1" ht="63" customHeight="1" x14ac:dyDescent="0.3">
      <c r="A540" s="104">
        <f t="shared" si="12"/>
        <v>370</v>
      </c>
      <c r="B540" s="209"/>
      <c r="C540" s="148" t="s">
        <v>600</v>
      </c>
      <c r="D540" s="148" t="s">
        <v>583</v>
      </c>
      <c r="E540" s="146" t="s">
        <v>12</v>
      </c>
      <c r="F540" s="105">
        <v>1000</v>
      </c>
      <c r="G540" s="105">
        <v>0</v>
      </c>
      <c r="H540" s="105">
        <v>0</v>
      </c>
      <c r="I540" s="105">
        <v>1000</v>
      </c>
      <c r="J540" s="105">
        <v>0</v>
      </c>
      <c r="K540" s="148" t="s">
        <v>318</v>
      </c>
    </row>
    <row r="541" spans="1:11" s="46" customFormat="1" ht="36" customHeight="1" x14ac:dyDescent="0.3">
      <c r="A541" s="104">
        <f t="shared" si="12"/>
        <v>371</v>
      </c>
      <c r="B541" s="209"/>
      <c r="C541" s="148" t="s">
        <v>601</v>
      </c>
      <c r="D541" s="148" t="s">
        <v>243</v>
      </c>
      <c r="E541" s="146" t="s">
        <v>12</v>
      </c>
      <c r="F541" s="105">
        <v>12048.811</v>
      </c>
      <c r="G541" s="105">
        <v>0</v>
      </c>
      <c r="H541" s="105">
        <v>0</v>
      </c>
      <c r="I541" s="105">
        <v>12048.811</v>
      </c>
      <c r="J541" s="105">
        <v>0</v>
      </c>
      <c r="K541" s="148" t="s">
        <v>359</v>
      </c>
    </row>
    <row r="542" spans="1:11" s="47" customFormat="1" ht="12.6" customHeight="1" x14ac:dyDescent="0.3">
      <c r="A542" s="213" t="s">
        <v>57</v>
      </c>
      <c r="B542" s="213"/>
      <c r="C542" s="213"/>
      <c r="D542" s="213"/>
      <c r="E542" s="147"/>
      <c r="F542" s="106"/>
      <c r="G542" s="107">
        <f>SUM(G521:G541)</f>
        <v>13959.780070000001</v>
      </c>
      <c r="H542" s="107"/>
      <c r="I542" s="107"/>
      <c r="J542" s="107"/>
      <c r="K542" s="147"/>
    </row>
    <row r="543" spans="1:11" s="49" customFormat="1" ht="16.2" customHeight="1" x14ac:dyDescent="0.3">
      <c r="A543" s="214" t="s">
        <v>62</v>
      </c>
      <c r="B543" s="215"/>
      <c r="C543" s="215"/>
      <c r="D543" s="215"/>
      <c r="E543" s="147"/>
      <c r="F543" s="106"/>
      <c r="G543" s="106"/>
      <c r="H543" s="107">
        <f>SUM(H521:H541)</f>
        <v>22874.155070000001</v>
      </c>
      <c r="I543" s="107"/>
      <c r="J543" s="107"/>
      <c r="K543" s="147"/>
    </row>
    <row r="544" spans="1:11" s="49" customFormat="1" ht="14.4" customHeight="1" x14ac:dyDescent="0.3">
      <c r="A544" s="214" t="s">
        <v>19</v>
      </c>
      <c r="B544" s="215"/>
      <c r="C544" s="215"/>
      <c r="D544" s="215"/>
      <c r="E544" s="147"/>
      <c r="F544" s="106"/>
      <c r="G544" s="106"/>
      <c r="H544" s="107"/>
      <c r="I544" s="107">
        <f>SUM(I521:I541)</f>
        <v>21468.891069999998</v>
      </c>
      <c r="J544" s="107"/>
      <c r="K544" s="147"/>
    </row>
    <row r="545" spans="1:11" s="50" customFormat="1" ht="38.4" customHeight="1" x14ac:dyDescent="0.25">
      <c r="A545" s="104">
        <v>372</v>
      </c>
      <c r="B545" s="212" t="s">
        <v>602</v>
      </c>
      <c r="C545" s="148" t="s">
        <v>603</v>
      </c>
      <c r="D545" s="148" t="s">
        <v>604</v>
      </c>
      <c r="E545" s="148" t="s">
        <v>12</v>
      </c>
      <c r="F545" s="105">
        <v>1447.8035199999999</v>
      </c>
      <c r="G545" s="105">
        <v>1447.8035199999999</v>
      </c>
      <c r="H545" s="105">
        <v>0</v>
      </c>
      <c r="I545" s="105">
        <v>0</v>
      </c>
      <c r="J545" s="105">
        <v>0</v>
      </c>
      <c r="K545" s="148" t="s">
        <v>72</v>
      </c>
    </row>
    <row r="546" spans="1:11" s="50" customFormat="1" ht="34.799999999999997" customHeight="1" x14ac:dyDescent="0.25">
      <c r="A546" s="104">
        <f>A545+1</f>
        <v>373</v>
      </c>
      <c r="B546" s="212"/>
      <c r="C546" s="148" t="s">
        <v>605</v>
      </c>
      <c r="D546" s="148" t="s">
        <v>323</v>
      </c>
      <c r="E546" s="148" t="s">
        <v>12</v>
      </c>
      <c r="F546" s="105">
        <v>2748.9578099999999</v>
      </c>
      <c r="G546" s="105">
        <v>2748.9578099999999</v>
      </c>
      <c r="H546" s="105">
        <v>0</v>
      </c>
      <c r="I546" s="105">
        <v>0</v>
      </c>
      <c r="J546" s="105">
        <v>0</v>
      </c>
      <c r="K546" s="148" t="s">
        <v>72</v>
      </c>
    </row>
    <row r="547" spans="1:11" s="50" customFormat="1" ht="34.799999999999997" customHeight="1" x14ac:dyDescent="0.25">
      <c r="A547" s="104">
        <f t="shared" ref="A547:A552" si="13">A546+1</f>
        <v>374</v>
      </c>
      <c r="B547" s="212"/>
      <c r="C547" s="148" t="s">
        <v>606</v>
      </c>
      <c r="D547" s="148" t="s">
        <v>243</v>
      </c>
      <c r="E547" s="148" t="s">
        <v>12</v>
      </c>
      <c r="F547" s="105">
        <v>2000</v>
      </c>
      <c r="G547" s="105">
        <v>2000</v>
      </c>
      <c r="H547" s="105">
        <v>1000</v>
      </c>
      <c r="I547" s="105">
        <v>1000</v>
      </c>
      <c r="J547" s="105">
        <v>0</v>
      </c>
      <c r="K547" s="148" t="s">
        <v>72</v>
      </c>
    </row>
    <row r="548" spans="1:11" s="50" customFormat="1" ht="36" customHeight="1" x14ac:dyDescent="0.25">
      <c r="A548" s="104">
        <f t="shared" si="13"/>
        <v>375</v>
      </c>
      <c r="B548" s="212"/>
      <c r="C548" s="148" t="s">
        <v>607</v>
      </c>
      <c r="D548" s="148" t="s">
        <v>235</v>
      </c>
      <c r="E548" s="148" t="s">
        <v>12</v>
      </c>
      <c r="F548" s="105">
        <v>3000</v>
      </c>
      <c r="G548" s="105">
        <v>3000</v>
      </c>
      <c r="H548" s="105">
        <v>1500</v>
      </c>
      <c r="I548" s="105">
        <v>1500</v>
      </c>
      <c r="J548" s="105">
        <v>0</v>
      </c>
      <c r="K548" s="148" t="s">
        <v>72</v>
      </c>
    </row>
    <row r="549" spans="1:11" s="50" customFormat="1" ht="57" customHeight="1" x14ac:dyDescent="0.25">
      <c r="A549" s="104">
        <f t="shared" si="13"/>
        <v>376</v>
      </c>
      <c r="B549" s="212"/>
      <c r="C549" s="148" t="s">
        <v>608</v>
      </c>
      <c r="D549" s="148" t="s">
        <v>93</v>
      </c>
      <c r="E549" s="148" t="s">
        <v>12</v>
      </c>
      <c r="F549" s="105">
        <v>365.4</v>
      </c>
      <c r="G549" s="105">
        <v>365.4</v>
      </c>
      <c r="H549" s="105">
        <v>0</v>
      </c>
      <c r="I549" s="105">
        <v>0</v>
      </c>
      <c r="J549" s="105">
        <v>0</v>
      </c>
      <c r="K549" s="148" t="s">
        <v>72</v>
      </c>
    </row>
    <row r="550" spans="1:11" s="50" customFormat="1" ht="34.200000000000003" customHeight="1" x14ac:dyDescent="0.25">
      <c r="A550" s="104">
        <f t="shared" si="13"/>
        <v>377</v>
      </c>
      <c r="B550" s="212"/>
      <c r="C550" s="148" t="s">
        <v>609</v>
      </c>
      <c r="D550" s="148" t="s">
        <v>610</v>
      </c>
      <c r="E550" s="148" t="s">
        <v>12</v>
      </c>
      <c r="F550" s="105">
        <v>1103.56267</v>
      </c>
      <c r="G550" s="105">
        <v>1103.56267</v>
      </c>
      <c r="H550" s="105">
        <v>0</v>
      </c>
      <c r="I550" s="105">
        <v>0</v>
      </c>
      <c r="J550" s="105">
        <v>0</v>
      </c>
      <c r="K550" s="148" t="s">
        <v>72</v>
      </c>
    </row>
    <row r="551" spans="1:11" s="50" customFormat="1" ht="36" customHeight="1" x14ac:dyDescent="0.25">
      <c r="A551" s="104">
        <f t="shared" si="13"/>
        <v>378</v>
      </c>
      <c r="B551" s="212"/>
      <c r="C551" s="148" t="s">
        <v>611</v>
      </c>
      <c r="D551" s="148" t="s">
        <v>604</v>
      </c>
      <c r="E551" s="148" t="s">
        <v>12</v>
      </c>
      <c r="F551" s="105">
        <v>5300.3239999999996</v>
      </c>
      <c r="G551" s="105">
        <v>0</v>
      </c>
      <c r="H551" s="105">
        <v>5300.3239999999996</v>
      </c>
      <c r="I551" s="105">
        <v>0</v>
      </c>
      <c r="J551" s="105">
        <v>0</v>
      </c>
      <c r="K551" s="148" t="s">
        <v>612</v>
      </c>
    </row>
    <row r="552" spans="1:11" s="50" customFormat="1" ht="35.4" customHeight="1" x14ac:dyDescent="0.25">
      <c r="A552" s="104">
        <f t="shared" si="13"/>
        <v>379</v>
      </c>
      <c r="B552" s="212"/>
      <c r="C552" s="148" t="s">
        <v>613</v>
      </c>
      <c r="D552" s="148" t="s">
        <v>604</v>
      </c>
      <c r="E552" s="148" t="s">
        <v>12</v>
      </c>
      <c r="F552" s="105">
        <v>5300.3239999999996</v>
      </c>
      <c r="G552" s="105">
        <v>0</v>
      </c>
      <c r="H552" s="105">
        <v>0</v>
      </c>
      <c r="I552" s="105">
        <v>5300.3239999999996</v>
      </c>
      <c r="J552" s="105">
        <v>0</v>
      </c>
      <c r="K552" s="148" t="s">
        <v>614</v>
      </c>
    </row>
    <row r="553" spans="1:11" s="47" customFormat="1" ht="14.4" customHeight="1" x14ac:dyDescent="0.3">
      <c r="A553" s="213" t="s">
        <v>57</v>
      </c>
      <c r="B553" s="213"/>
      <c r="C553" s="213"/>
      <c r="D553" s="213"/>
      <c r="E553" s="147"/>
      <c r="F553" s="106"/>
      <c r="G553" s="107">
        <f>SUM(G545:G552)</f>
        <v>10665.723999999998</v>
      </c>
      <c r="H553" s="107"/>
      <c r="I553" s="107"/>
      <c r="J553" s="107"/>
      <c r="K553" s="147"/>
    </row>
    <row r="554" spans="1:11" s="49" customFormat="1" ht="17.399999999999999" customHeight="1" x14ac:dyDescent="0.3">
      <c r="A554" s="214" t="s">
        <v>62</v>
      </c>
      <c r="B554" s="215"/>
      <c r="C554" s="215"/>
      <c r="D554" s="215"/>
      <c r="E554" s="147"/>
      <c r="F554" s="106"/>
      <c r="G554" s="106"/>
      <c r="H554" s="107">
        <f>SUM(H545:H552)</f>
        <v>7800.3239999999996</v>
      </c>
      <c r="I554" s="107"/>
      <c r="J554" s="107"/>
      <c r="K554" s="147"/>
    </row>
    <row r="555" spans="1:11" s="49" customFormat="1" ht="15.6" customHeight="1" x14ac:dyDescent="0.3">
      <c r="A555" s="214" t="s">
        <v>19</v>
      </c>
      <c r="B555" s="215"/>
      <c r="C555" s="215"/>
      <c r="D555" s="215"/>
      <c r="E555" s="147"/>
      <c r="F555" s="106"/>
      <c r="G555" s="106"/>
      <c r="H555" s="107"/>
      <c r="I555" s="107">
        <f>SUM(I545:I552)</f>
        <v>7800.3239999999996</v>
      </c>
      <c r="J555" s="107"/>
      <c r="K555" s="147"/>
    </row>
    <row r="556" spans="1:11" s="50" customFormat="1" ht="30.6" customHeight="1" x14ac:dyDescent="0.25">
      <c r="A556" s="104">
        <v>380</v>
      </c>
      <c r="B556" s="212" t="s">
        <v>615</v>
      </c>
      <c r="C556" s="148" t="s">
        <v>616</v>
      </c>
      <c r="D556" s="148" t="s">
        <v>91</v>
      </c>
      <c r="E556" s="148" t="s">
        <v>12</v>
      </c>
      <c r="F556" s="105">
        <v>800</v>
      </c>
      <c r="G556" s="105">
        <v>800</v>
      </c>
      <c r="H556" s="105">
        <v>0</v>
      </c>
      <c r="I556" s="105">
        <v>0</v>
      </c>
      <c r="J556" s="105">
        <v>0</v>
      </c>
      <c r="K556" s="148" t="s">
        <v>72</v>
      </c>
    </row>
    <row r="557" spans="1:11" s="50" customFormat="1" ht="41.4" customHeight="1" x14ac:dyDescent="0.25">
      <c r="A557" s="104">
        <f>A556+1</f>
        <v>381</v>
      </c>
      <c r="B557" s="212"/>
      <c r="C557" s="148" t="s">
        <v>617</v>
      </c>
      <c r="D557" s="148" t="s">
        <v>618</v>
      </c>
      <c r="E557" s="148" t="s">
        <v>12</v>
      </c>
      <c r="F557" s="105">
        <v>1031.365</v>
      </c>
      <c r="G557" s="105">
        <v>1031.365</v>
      </c>
      <c r="H557" s="105">
        <v>0</v>
      </c>
      <c r="I557" s="105">
        <v>0</v>
      </c>
      <c r="J557" s="105">
        <v>0</v>
      </c>
      <c r="K557" s="148" t="s">
        <v>72</v>
      </c>
    </row>
    <row r="558" spans="1:11" s="50" customFormat="1" ht="40.200000000000003" customHeight="1" x14ac:dyDescent="0.25">
      <c r="A558" s="104">
        <f t="shared" ref="A558:A569" si="14">A557+1</f>
        <v>382</v>
      </c>
      <c r="B558" s="212"/>
      <c r="C558" s="148" t="s">
        <v>619</v>
      </c>
      <c r="D558" s="148" t="s">
        <v>323</v>
      </c>
      <c r="E558" s="148" t="s">
        <v>12</v>
      </c>
      <c r="F558" s="105">
        <v>761.51</v>
      </c>
      <c r="G558" s="105">
        <v>761.51</v>
      </c>
      <c r="H558" s="105">
        <v>0</v>
      </c>
      <c r="I558" s="105">
        <v>0</v>
      </c>
      <c r="J558" s="105">
        <v>0</v>
      </c>
      <c r="K558" s="148" t="s">
        <v>72</v>
      </c>
    </row>
    <row r="559" spans="1:11" s="50" customFormat="1" ht="45" customHeight="1" x14ac:dyDescent="0.25">
      <c r="A559" s="104">
        <f t="shared" si="14"/>
        <v>383</v>
      </c>
      <c r="B559" s="212"/>
      <c r="C559" s="148" t="s">
        <v>620</v>
      </c>
      <c r="D559" s="148" t="s">
        <v>576</v>
      </c>
      <c r="E559" s="148" t="s">
        <v>12</v>
      </c>
      <c r="F559" s="105">
        <v>915.04</v>
      </c>
      <c r="G559" s="105">
        <v>915.04</v>
      </c>
      <c r="H559" s="105">
        <v>0</v>
      </c>
      <c r="I559" s="105">
        <v>0</v>
      </c>
      <c r="J559" s="105">
        <v>0</v>
      </c>
      <c r="K559" s="148" t="s">
        <v>72</v>
      </c>
    </row>
    <row r="560" spans="1:11" s="50" customFormat="1" ht="69.599999999999994" customHeight="1" x14ac:dyDescent="0.25">
      <c r="A560" s="104">
        <f t="shared" si="14"/>
        <v>384</v>
      </c>
      <c r="B560" s="212"/>
      <c r="C560" s="148" t="s">
        <v>621</v>
      </c>
      <c r="D560" s="148" t="s">
        <v>93</v>
      </c>
      <c r="E560" s="148" t="s">
        <v>12</v>
      </c>
      <c r="F560" s="105">
        <v>343.2</v>
      </c>
      <c r="G560" s="105">
        <v>343.2</v>
      </c>
      <c r="H560" s="105">
        <v>0</v>
      </c>
      <c r="I560" s="105">
        <v>0</v>
      </c>
      <c r="J560" s="105">
        <v>0</v>
      </c>
      <c r="K560" s="148" t="s">
        <v>72</v>
      </c>
    </row>
    <row r="561" spans="1:11" s="50" customFormat="1" ht="30.6" customHeight="1" x14ac:dyDescent="0.25">
      <c r="A561" s="104">
        <f t="shared" si="14"/>
        <v>385</v>
      </c>
      <c r="B561" s="212"/>
      <c r="C561" s="148" t="s">
        <v>622</v>
      </c>
      <c r="D561" s="148" t="s">
        <v>286</v>
      </c>
      <c r="E561" s="148" t="s">
        <v>12</v>
      </c>
      <c r="F561" s="105">
        <v>1199.115</v>
      </c>
      <c r="G561" s="105">
        <v>1199.115</v>
      </c>
      <c r="H561" s="105">
        <v>0</v>
      </c>
      <c r="I561" s="105">
        <v>0</v>
      </c>
      <c r="J561" s="105">
        <v>0</v>
      </c>
      <c r="K561" s="148" t="s">
        <v>72</v>
      </c>
    </row>
    <row r="562" spans="1:11" s="50" customFormat="1" ht="30.6" customHeight="1" x14ac:dyDescent="0.25">
      <c r="A562" s="104">
        <f t="shared" si="14"/>
        <v>386</v>
      </c>
      <c r="B562" s="212"/>
      <c r="C562" s="148" t="s">
        <v>623</v>
      </c>
      <c r="D562" s="148" t="s">
        <v>385</v>
      </c>
      <c r="E562" s="148" t="s">
        <v>12</v>
      </c>
      <c r="F562" s="105">
        <v>984.19949999999994</v>
      </c>
      <c r="G562" s="105">
        <v>984.19949999999994</v>
      </c>
      <c r="H562" s="105">
        <v>0</v>
      </c>
      <c r="I562" s="105">
        <v>0</v>
      </c>
      <c r="J562" s="105">
        <v>0</v>
      </c>
      <c r="K562" s="148" t="s">
        <v>76</v>
      </c>
    </row>
    <row r="563" spans="1:11" s="50" customFormat="1" ht="39" customHeight="1" x14ac:dyDescent="0.25">
      <c r="A563" s="104">
        <f t="shared" si="14"/>
        <v>387</v>
      </c>
      <c r="B563" s="212"/>
      <c r="C563" s="148" t="s">
        <v>624</v>
      </c>
      <c r="D563" s="148" t="s">
        <v>625</v>
      </c>
      <c r="E563" s="148" t="s">
        <v>12</v>
      </c>
      <c r="F563" s="105">
        <v>1999.9549999999999</v>
      </c>
      <c r="G563" s="105">
        <v>1999.9549999999999</v>
      </c>
      <c r="H563" s="105">
        <v>0</v>
      </c>
      <c r="I563" s="105">
        <v>0</v>
      </c>
      <c r="J563" s="105">
        <v>0</v>
      </c>
      <c r="K563" s="148" t="s">
        <v>76</v>
      </c>
    </row>
    <row r="564" spans="1:11" s="50" customFormat="1" ht="30.6" customHeight="1" x14ac:dyDescent="0.25">
      <c r="A564" s="104">
        <f t="shared" si="14"/>
        <v>388</v>
      </c>
      <c r="B564" s="212"/>
      <c r="C564" s="148" t="s">
        <v>626</v>
      </c>
      <c r="D564" s="148" t="s">
        <v>500</v>
      </c>
      <c r="E564" s="148" t="s">
        <v>12</v>
      </c>
      <c r="F564" s="105">
        <v>5310.31801</v>
      </c>
      <c r="G564" s="105">
        <v>5310.31801</v>
      </c>
      <c r="H564" s="105">
        <v>0</v>
      </c>
      <c r="I564" s="105">
        <v>0</v>
      </c>
      <c r="J564" s="105">
        <v>0</v>
      </c>
      <c r="K564" s="148" t="s">
        <v>76</v>
      </c>
    </row>
    <row r="565" spans="1:11" s="50" customFormat="1" ht="41.4" customHeight="1" x14ac:dyDescent="0.25">
      <c r="A565" s="104">
        <f t="shared" si="14"/>
        <v>389</v>
      </c>
      <c r="B565" s="212"/>
      <c r="C565" s="148" t="s">
        <v>627</v>
      </c>
      <c r="D565" s="148" t="s">
        <v>298</v>
      </c>
      <c r="E565" s="148" t="s">
        <v>12</v>
      </c>
      <c r="F565" s="105">
        <v>3139.31</v>
      </c>
      <c r="G565" s="105">
        <v>3139.31</v>
      </c>
      <c r="H565" s="105">
        <v>0</v>
      </c>
      <c r="I565" s="105">
        <v>0</v>
      </c>
      <c r="J565" s="105">
        <v>0</v>
      </c>
      <c r="K565" s="148" t="s">
        <v>76</v>
      </c>
    </row>
    <row r="566" spans="1:11" s="50" customFormat="1" ht="30.6" customHeight="1" x14ac:dyDescent="0.25">
      <c r="A566" s="104">
        <f t="shared" si="14"/>
        <v>390</v>
      </c>
      <c r="B566" s="212"/>
      <c r="C566" s="148" t="s">
        <v>628</v>
      </c>
      <c r="D566" s="148" t="s">
        <v>91</v>
      </c>
      <c r="E566" s="148" t="s">
        <v>12</v>
      </c>
      <c r="F566" s="105">
        <v>800.11599999999999</v>
      </c>
      <c r="G566" s="105">
        <v>800.11599999999999</v>
      </c>
      <c r="H566" s="105">
        <v>0</v>
      </c>
      <c r="I566" s="105">
        <v>0</v>
      </c>
      <c r="J566" s="105">
        <v>0</v>
      </c>
      <c r="K566" s="148" t="s">
        <v>76</v>
      </c>
    </row>
    <row r="567" spans="1:11" s="50" customFormat="1" ht="48" customHeight="1" x14ac:dyDescent="0.25">
      <c r="A567" s="104">
        <f t="shared" si="14"/>
        <v>391</v>
      </c>
      <c r="B567" s="212"/>
      <c r="C567" s="148" t="s">
        <v>629</v>
      </c>
      <c r="D567" s="148" t="s">
        <v>630</v>
      </c>
      <c r="E567" s="148" t="s">
        <v>12</v>
      </c>
      <c r="F567" s="105">
        <v>958.86719999999991</v>
      </c>
      <c r="G567" s="105">
        <v>958.86719999999991</v>
      </c>
      <c r="H567" s="105">
        <v>0</v>
      </c>
      <c r="I567" s="105">
        <v>0</v>
      </c>
      <c r="J567" s="105">
        <v>0</v>
      </c>
      <c r="K567" s="148" t="s">
        <v>76</v>
      </c>
    </row>
    <row r="568" spans="1:11" s="50" customFormat="1" ht="48" customHeight="1" x14ac:dyDescent="0.25">
      <c r="A568" s="104">
        <f t="shared" si="14"/>
        <v>392</v>
      </c>
      <c r="B568" s="212"/>
      <c r="C568" s="148" t="s">
        <v>631</v>
      </c>
      <c r="D568" s="148" t="s">
        <v>632</v>
      </c>
      <c r="E568" s="148" t="s">
        <v>12</v>
      </c>
      <c r="F568" s="105">
        <v>8041.5232300000007</v>
      </c>
      <c r="G568" s="105">
        <v>0</v>
      </c>
      <c r="H568" s="105">
        <v>8041.5232300000007</v>
      </c>
      <c r="I568" s="105">
        <v>0</v>
      </c>
      <c r="J568" s="105">
        <v>0</v>
      </c>
      <c r="K568" s="148" t="s">
        <v>316</v>
      </c>
    </row>
    <row r="569" spans="1:11" s="50" customFormat="1" ht="52.2" customHeight="1" x14ac:dyDescent="0.25">
      <c r="A569" s="104">
        <f t="shared" si="14"/>
        <v>393</v>
      </c>
      <c r="B569" s="212"/>
      <c r="C569" s="148" t="s">
        <v>633</v>
      </c>
      <c r="D569" s="148" t="s">
        <v>632</v>
      </c>
      <c r="E569" s="148" t="s">
        <v>12</v>
      </c>
      <c r="F569" s="105">
        <v>8041.5232300000007</v>
      </c>
      <c r="G569" s="105">
        <v>0</v>
      </c>
      <c r="H569" s="105">
        <v>0</v>
      </c>
      <c r="I569" s="105">
        <v>8041.5232300000007</v>
      </c>
      <c r="J569" s="105">
        <v>0</v>
      </c>
      <c r="K569" s="148" t="s">
        <v>359</v>
      </c>
    </row>
    <row r="570" spans="1:11" s="47" customFormat="1" ht="15" customHeight="1" x14ac:dyDescent="0.3">
      <c r="A570" s="213" t="s">
        <v>57</v>
      </c>
      <c r="B570" s="213"/>
      <c r="C570" s="213"/>
      <c r="D570" s="213"/>
      <c r="E570" s="147"/>
      <c r="F570" s="106"/>
      <c r="G570" s="107">
        <f>SUM(G556:G569)</f>
        <v>18242.995710000003</v>
      </c>
      <c r="H570" s="107"/>
      <c r="I570" s="107"/>
      <c r="J570" s="107"/>
      <c r="K570" s="147"/>
    </row>
    <row r="571" spans="1:11" s="49" customFormat="1" ht="13.95" customHeight="1" x14ac:dyDescent="0.3">
      <c r="A571" s="214" t="s">
        <v>62</v>
      </c>
      <c r="B571" s="215"/>
      <c r="C571" s="215"/>
      <c r="D571" s="215"/>
      <c r="E571" s="147"/>
      <c r="F571" s="106"/>
      <c r="G571" s="106"/>
      <c r="H571" s="107">
        <f>SUM(H556:H569)</f>
        <v>8041.5232300000007</v>
      </c>
      <c r="I571" s="107"/>
      <c r="J571" s="107"/>
      <c r="K571" s="147"/>
    </row>
    <row r="572" spans="1:11" s="49" customFormat="1" ht="16.2" customHeight="1" x14ac:dyDescent="0.3">
      <c r="A572" s="214" t="s">
        <v>19</v>
      </c>
      <c r="B572" s="215"/>
      <c r="C572" s="215"/>
      <c r="D572" s="215"/>
      <c r="E572" s="147"/>
      <c r="F572" s="106"/>
      <c r="G572" s="106"/>
      <c r="H572" s="107"/>
      <c r="I572" s="107">
        <f>SUM(I556:I569)</f>
        <v>8041.5232300000007</v>
      </c>
      <c r="J572" s="107"/>
      <c r="K572" s="147"/>
    </row>
    <row r="573" spans="1:11" s="50" customFormat="1" ht="38.4" customHeight="1" x14ac:dyDescent="0.25">
      <c r="A573" s="104">
        <v>394</v>
      </c>
      <c r="B573" s="212" t="s">
        <v>634</v>
      </c>
      <c r="C573" s="148" t="s">
        <v>635</v>
      </c>
      <c r="D573" s="148" t="s">
        <v>290</v>
      </c>
      <c r="E573" s="148" t="s">
        <v>12</v>
      </c>
      <c r="F573" s="105">
        <v>324.38053000000002</v>
      </c>
      <c r="G573" s="105">
        <v>324.38053000000002</v>
      </c>
      <c r="H573" s="105">
        <v>0</v>
      </c>
      <c r="I573" s="105">
        <v>0</v>
      </c>
      <c r="J573" s="105">
        <v>0</v>
      </c>
      <c r="K573" s="148" t="s">
        <v>76</v>
      </c>
    </row>
    <row r="574" spans="1:11" s="50" customFormat="1" ht="35.4" customHeight="1" x14ac:dyDescent="0.25">
      <c r="A574" s="104">
        <f>A573+1</f>
        <v>395</v>
      </c>
      <c r="B574" s="212"/>
      <c r="C574" s="148" t="s">
        <v>636</v>
      </c>
      <c r="D574" s="148" t="s">
        <v>286</v>
      </c>
      <c r="E574" s="148" t="s">
        <v>12</v>
      </c>
      <c r="F574" s="105">
        <v>1369.3178</v>
      </c>
      <c r="G574" s="105">
        <v>1369.3178</v>
      </c>
      <c r="H574" s="105">
        <v>0</v>
      </c>
      <c r="I574" s="105">
        <v>0</v>
      </c>
      <c r="J574" s="105">
        <v>0</v>
      </c>
      <c r="K574" s="148" t="s">
        <v>76</v>
      </c>
    </row>
    <row r="575" spans="1:11" s="50" customFormat="1" ht="70.2" customHeight="1" x14ac:dyDescent="0.25">
      <c r="A575" s="104">
        <f t="shared" ref="A575:A592" si="15">A574+1</f>
        <v>396</v>
      </c>
      <c r="B575" s="212"/>
      <c r="C575" s="148" t="s">
        <v>637</v>
      </c>
      <c r="D575" s="148" t="s">
        <v>638</v>
      </c>
      <c r="E575" s="148" t="s">
        <v>12</v>
      </c>
      <c r="F575" s="105">
        <v>88.733999999999995</v>
      </c>
      <c r="G575" s="105">
        <v>88.733999999999995</v>
      </c>
      <c r="H575" s="105">
        <v>0</v>
      </c>
      <c r="I575" s="105">
        <v>0</v>
      </c>
      <c r="J575" s="105">
        <v>0</v>
      </c>
      <c r="K575" s="148" t="s">
        <v>76</v>
      </c>
    </row>
    <row r="576" spans="1:11" s="50" customFormat="1" ht="28.2" customHeight="1" x14ac:dyDescent="0.25">
      <c r="A576" s="104">
        <f t="shared" si="15"/>
        <v>397</v>
      </c>
      <c r="B576" s="212"/>
      <c r="C576" s="148" t="s">
        <v>639</v>
      </c>
      <c r="D576" s="148" t="s">
        <v>91</v>
      </c>
      <c r="E576" s="148" t="s">
        <v>12</v>
      </c>
      <c r="F576" s="105">
        <v>252</v>
      </c>
      <c r="G576" s="105">
        <v>252</v>
      </c>
      <c r="H576" s="105">
        <v>0</v>
      </c>
      <c r="I576" s="105">
        <v>0</v>
      </c>
      <c r="J576" s="105">
        <v>0</v>
      </c>
      <c r="K576" s="148" t="s">
        <v>76</v>
      </c>
    </row>
    <row r="577" spans="1:11" s="50" customFormat="1" ht="43.2" customHeight="1" x14ac:dyDescent="0.25">
      <c r="A577" s="104">
        <f t="shared" si="15"/>
        <v>398</v>
      </c>
      <c r="B577" s="212"/>
      <c r="C577" s="148" t="s">
        <v>640</v>
      </c>
      <c r="D577" s="148" t="s">
        <v>641</v>
      </c>
      <c r="E577" s="148" t="s">
        <v>12</v>
      </c>
      <c r="F577" s="105">
        <v>19994.014999999999</v>
      </c>
      <c r="G577" s="105">
        <v>19994.014999999999</v>
      </c>
      <c r="H577" s="105">
        <v>0</v>
      </c>
      <c r="I577" s="105">
        <v>0</v>
      </c>
      <c r="J577" s="105">
        <v>0</v>
      </c>
      <c r="K577" s="148" t="s">
        <v>76</v>
      </c>
    </row>
    <row r="578" spans="1:11" s="50" customFormat="1" ht="58.8" customHeight="1" x14ac:dyDescent="0.25">
      <c r="A578" s="104">
        <f t="shared" si="15"/>
        <v>399</v>
      </c>
      <c r="B578" s="212"/>
      <c r="C578" s="148" t="s">
        <v>642</v>
      </c>
      <c r="D578" s="148" t="s">
        <v>643</v>
      </c>
      <c r="E578" s="148" t="s">
        <v>12</v>
      </c>
      <c r="F578" s="105">
        <v>12397.395</v>
      </c>
      <c r="G578" s="105">
        <v>12397.395</v>
      </c>
      <c r="H578" s="105">
        <v>0</v>
      </c>
      <c r="I578" s="105">
        <v>0</v>
      </c>
      <c r="J578" s="105">
        <v>0</v>
      </c>
      <c r="K578" s="148" t="s">
        <v>76</v>
      </c>
    </row>
    <row r="579" spans="1:11" s="50" customFormat="1" ht="28.2" customHeight="1" x14ac:dyDescent="0.25">
      <c r="A579" s="104">
        <f t="shared" si="15"/>
        <v>400</v>
      </c>
      <c r="B579" s="212"/>
      <c r="C579" s="148" t="s">
        <v>644</v>
      </c>
      <c r="D579" s="148" t="s">
        <v>385</v>
      </c>
      <c r="E579" s="148" t="s">
        <v>12</v>
      </c>
      <c r="F579" s="105">
        <v>300</v>
      </c>
      <c r="G579" s="105">
        <v>300</v>
      </c>
      <c r="H579" s="105">
        <v>0</v>
      </c>
      <c r="I579" s="105">
        <v>0</v>
      </c>
      <c r="J579" s="105">
        <v>0</v>
      </c>
      <c r="K579" s="148" t="s">
        <v>76</v>
      </c>
    </row>
    <row r="580" spans="1:11" s="50" customFormat="1" ht="28.2" customHeight="1" x14ac:dyDescent="0.25">
      <c r="A580" s="104">
        <f t="shared" si="15"/>
        <v>401</v>
      </c>
      <c r="B580" s="212"/>
      <c r="C580" s="148" t="s">
        <v>645</v>
      </c>
      <c r="D580" s="148" t="s">
        <v>91</v>
      </c>
      <c r="E580" s="148" t="s">
        <v>12</v>
      </c>
      <c r="F580" s="105">
        <v>726.75</v>
      </c>
      <c r="G580" s="105">
        <v>726.75</v>
      </c>
      <c r="H580" s="105">
        <v>0</v>
      </c>
      <c r="I580" s="105">
        <v>0</v>
      </c>
      <c r="J580" s="105">
        <v>0</v>
      </c>
      <c r="K580" s="148" t="s">
        <v>76</v>
      </c>
    </row>
    <row r="581" spans="1:11" s="50" customFormat="1" ht="28.2" customHeight="1" x14ac:dyDescent="0.25">
      <c r="A581" s="104">
        <f t="shared" si="15"/>
        <v>402</v>
      </c>
      <c r="B581" s="212"/>
      <c r="C581" s="148" t="s">
        <v>646</v>
      </c>
      <c r="D581" s="148" t="s">
        <v>647</v>
      </c>
      <c r="E581" s="148" t="s">
        <v>12</v>
      </c>
      <c r="F581" s="105">
        <v>1932.86</v>
      </c>
      <c r="G581" s="105">
        <v>1932.86</v>
      </c>
      <c r="H581" s="105">
        <v>0</v>
      </c>
      <c r="I581" s="105">
        <v>0</v>
      </c>
      <c r="J581" s="105">
        <v>0</v>
      </c>
      <c r="K581" s="148" t="s">
        <v>76</v>
      </c>
    </row>
    <row r="582" spans="1:11" s="50" customFormat="1" ht="35.4" customHeight="1" x14ac:dyDescent="0.25">
      <c r="A582" s="104">
        <f t="shared" si="15"/>
        <v>403</v>
      </c>
      <c r="B582" s="212"/>
      <c r="C582" s="148" t="s">
        <v>648</v>
      </c>
      <c r="D582" s="148" t="s">
        <v>649</v>
      </c>
      <c r="E582" s="148" t="s">
        <v>12</v>
      </c>
      <c r="F582" s="105">
        <v>2061</v>
      </c>
      <c r="G582" s="105">
        <v>2061</v>
      </c>
      <c r="H582" s="105">
        <v>0</v>
      </c>
      <c r="I582" s="105">
        <v>0</v>
      </c>
      <c r="J582" s="105">
        <v>0</v>
      </c>
      <c r="K582" s="148" t="s">
        <v>76</v>
      </c>
    </row>
    <row r="583" spans="1:11" s="50" customFormat="1" ht="44.4" customHeight="1" x14ac:dyDescent="0.25">
      <c r="A583" s="104">
        <f t="shared" si="15"/>
        <v>404</v>
      </c>
      <c r="B583" s="212"/>
      <c r="C583" s="148" t="s">
        <v>650</v>
      </c>
      <c r="D583" s="148" t="s">
        <v>651</v>
      </c>
      <c r="E583" s="148" t="s">
        <v>12</v>
      </c>
      <c r="F583" s="105">
        <v>3093.8984999999998</v>
      </c>
      <c r="G583" s="105">
        <v>3093.8984999999998</v>
      </c>
      <c r="H583" s="105">
        <v>0</v>
      </c>
      <c r="I583" s="105">
        <v>0</v>
      </c>
      <c r="J583" s="105">
        <v>0</v>
      </c>
      <c r="K583" s="148" t="s">
        <v>76</v>
      </c>
    </row>
    <row r="584" spans="1:11" s="50" customFormat="1" ht="43.8" customHeight="1" x14ac:dyDescent="0.25">
      <c r="A584" s="104">
        <f t="shared" si="15"/>
        <v>405</v>
      </c>
      <c r="B584" s="212"/>
      <c r="C584" s="148" t="s">
        <v>652</v>
      </c>
      <c r="D584" s="148" t="s">
        <v>653</v>
      </c>
      <c r="E584" s="148" t="s">
        <v>12</v>
      </c>
      <c r="F584" s="105">
        <v>1700</v>
      </c>
      <c r="G584" s="105">
        <v>1700</v>
      </c>
      <c r="H584" s="105">
        <v>0</v>
      </c>
      <c r="I584" s="105">
        <v>0</v>
      </c>
      <c r="J584" s="105">
        <v>0</v>
      </c>
      <c r="K584" s="148" t="s">
        <v>76</v>
      </c>
    </row>
    <row r="585" spans="1:11" s="50" customFormat="1" ht="41.4" customHeight="1" x14ac:dyDescent="0.25">
      <c r="A585" s="104">
        <f t="shared" si="15"/>
        <v>406</v>
      </c>
      <c r="B585" s="212"/>
      <c r="C585" s="148" t="s">
        <v>654</v>
      </c>
      <c r="D585" s="148" t="s">
        <v>630</v>
      </c>
      <c r="E585" s="148" t="s">
        <v>12</v>
      </c>
      <c r="F585" s="105">
        <v>2850</v>
      </c>
      <c r="G585" s="105">
        <v>2850</v>
      </c>
      <c r="H585" s="105">
        <v>0</v>
      </c>
      <c r="I585" s="105">
        <v>0</v>
      </c>
      <c r="J585" s="105">
        <v>0</v>
      </c>
      <c r="K585" s="148" t="s">
        <v>76</v>
      </c>
    </row>
    <row r="586" spans="1:11" s="50" customFormat="1" ht="57" customHeight="1" x14ac:dyDescent="0.25">
      <c r="A586" s="104">
        <f t="shared" si="15"/>
        <v>407</v>
      </c>
      <c r="B586" s="212"/>
      <c r="C586" s="148" t="s">
        <v>655</v>
      </c>
      <c r="D586" s="148" t="s">
        <v>630</v>
      </c>
      <c r="E586" s="148" t="s">
        <v>12</v>
      </c>
      <c r="F586" s="105">
        <v>1620.9864</v>
      </c>
      <c r="G586" s="105">
        <v>1620.9864</v>
      </c>
      <c r="H586" s="105">
        <v>0</v>
      </c>
      <c r="I586" s="105">
        <v>0</v>
      </c>
      <c r="J586" s="105">
        <v>0</v>
      </c>
      <c r="K586" s="148" t="s">
        <v>76</v>
      </c>
    </row>
    <row r="587" spans="1:11" s="50" customFormat="1" ht="57" customHeight="1" x14ac:dyDescent="0.25">
      <c r="A587" s="104">
        <f t="shared" si="15"/>
        <v>408</v>
      </c>
      <c r="B587" s="212"/>
      <c r="C587" s="148" t="s">
        <v>656</v>
      </c>
      <c r="D587" s="148" t="s">
        <v>286</v>
      </c>
      <c r="E587" s="148" t="s">
        <v>12</v>
      </c>
      <c r="F587" s="105">
        <v>945</v>
      </c>
      <c r="G587" s="105">
        <v>945</v>
      </c>
      <c r="H587" s="105">
        <v>0</v>
      </c>
      <c r="I587" s="105">
        <v>0</v>
      </c>
      <c r="J587" s="105">
        <v>0</v>
      </c>
      <c r="K587" s="148" t="s">
        <v>76</v>
      </c>
    </row>
    <row r="588" spans="1:11" s="50" customFormat="1" ht="57" customHeight="1" x14ac:dyDescent="0.25">
      <c r="A588" s="104">
        <f t="shared" si="15"/>
        <v>409</v>
      </c>
      <c r="B588" s="212"/>
      <c r="C588" s="148" t="s">
        <v>657</v>
      </c>
      <c r="D588" s="148" t="s">
        <v>286</v>
      </c>
      <c r="E588" s="148" t="s">
        <v>12</v>
      </c>
      <c r="F588" s="105">
        <v>1167.2</v>
      </c>
      <c r="G588" s="105">
        <v>1167.2</v>
      </c>
      <c r="H588" s="105">
        <v>0</v>
      </c>
      <c r="I588" s="105">
        <v>0</v>
      </c>
      <c r="J588" s="105">
        <v>0</v>
      </c>
      <c r="K588" s="148" t="s">
        <v>76</v>
      </c>
    </row>
    <row r="589" spans="1:11" s="50" customFormat="1" ht="57" customHeight="1" x14ac:dyDescent="0.25">
      <c r="A589" s="104">
        <f t="shared" si="15"/>
        <v>410</v>
      </c>
      <c r="B589" s="212"/>
      <c r="C589" s="148" t="s">
        <v>658</v>
      </c>
      <c r="D589" s="148" t="s">
        <v>243</v>
      </c>
      <c r="E589" s="148" t="s">
        <v>12</v>
      </c>
      <c r="F589" s="105">
        <v>11345.96</v>
      </c>
      <c r="G589" s="105">
        <v>0</v>
      </c>
      <c r="H589" s="105">
        <v>11345.96</v>
      </c>
      <c r="I589" s="105">
        <v>0</v>
      </c>
      <c r="J589" s="105">
        <v>0</v>
      </c>
      <c r="K589" s="148" t="s">
        <v>282</v>
      </c>
    </row>
    <row r="590" spans="1:11" s="50" customFormat="1" ht="57" customHeight="1" x14ac:dyDescent="0.25">
      <c r="A590" s="104">
        <f t="shared" si="15"/>
        <v>411</v>
      </c>
      <c r="B590" s="212"/>
      <c r="C590" s="148" t="s">
        <v>659</v>
      </c>
      <c r="D590" s="148" t="s">
        <v>290</v>
      </c>
      <c r="E590" s="148" t="s">
        <v>12</v>
      </c>
      <c r="F590" s="105">
        <v>33096.269030000003</v>
      </c>
      <c r="G590" s="105">
        <v>0</v>
      </c>
      <c r="H590" s="105">
        <v>33096.269030000003</v>
      </c>
      <c r="I590" s="105">
        <v>0</v>
      </c>
      <c r="J590" s="105">
        <v>0</v>
      </c>
      <c r="K590" s="148" t="s">
        <v>282</v>
      </c>
    </row>
    <row r="591" spans="1:11" s="50" customFormat="1" ht="57" customHeight="1" x14ac:dyDescent="0.25">
      <c r="A591" s="104">
        <f t="shared" si="15"/>
        <v>412</v>
      </c>
      <c r="B591" s="212"/>
      <c r="C591" s="148" t="s">
        <v>660</v>
      </c>
      <c r="D591" s="148" t="s">
        <v>243</v>
      </c>
      <c r="E591" s="148" t="s">
        <v>12</v>
      </c>
      <c r="F591" s="105">
        <v>14345.96</v>
      </c>
      <c r="G591" s="105">
        <v>0</v>
      </c>
      <c r="H591" s="105">
        <v>0</v>
      </c>
      <c r="I591" s="105">
        <v>14345.96</v>
      </c>
      <c r="J591" s="105">
        <v>0</v>
      </c>
      <c r="K591" s="148" t="s">
        <v>318</v>
      </c>
    </row>
    <row r="592" spans="1:11" s="50" customFormat="1" ht="57" customHeight="1" x14ac:dyDescent="0.25">
      <c r="A592" s="104">
        <f t="shared" si="15"/>
        <v>413</v>
      </c>
      <c r="B592" s="212"/>
      <c r="C592" s="148" t="s">
        <v>661</v>
      </c>
      <c r="D592" s="148" t="s">
        <v>290</v>
      </c>
      <c r="E592" s="148" t="s">
        <v>12</v>
      </c>
      <c r="F592" s="105">
        <v>33096.269030000003</v>
      </c>
      <c r="G592" s="105">
        <v>0</v>
      </c>
      <c r="H592" s="105">
        <v>0</v>
      </c>
      <c r="I592" s="105">
        <v>33096.269030000003</v>
      </c>
      <c r="J592" s="105">
        <v>0</v>
      </c>
      <c r="K592" s="148" t="s">
        <v>318</v>
      </c>
    </row>
    <row r="593" spans="1:11" s="47" customFormat="1" ht="14.4" customHeight="1" x14ac:dyDescent="0.3">
      <c r="A593" s="213" t="s">
        <v>57</v>
      </c>
      <c r="B593" s="213"/>
      <c r="C593" s="213"/>
      <c r="D593" s="213"/>
      <c r="E593" s="147"/>
      <c r="F593" s="106"/>
      <c r="G593" s="107">
        <f>SUM(G573:G592)</f>
        <v>50823.537230000002</v>
      </c>
      <c r="H593" s="107"/>
      <c r="I593" s="107"/>
      <c r="J593" s="107"/>
      <c r="K593" s="147"/>
    </row>
    <row r="594" spans="1:11" s="49" customFormat="1" ht="15" customHeight="1" x14ac:dyDescent="0.3">
      <c r="A594" s="214" t="s">
        <v>62</v>
      </c>
      <c r="B594" s="215"/>
      <c r="C594" s="215"/>
      <c r="D594" s="215"/>
      <c r="E594" s="147"/>
      <c r="F594" s="106"/>
      <c r="G594" s="106"/>
      <c r="H594" s="107">
        <f>SUM(H573:H592)</f>
        <v>44442.229030000002</v>
      </c>
      <c r="I594" s="107"/>
      <c r="J594" s="107"/>
      <c r="K594" s="147"/>
    </row>
    <row r="595" spans="1:11" s="49" customFormat="1" ht="16.2" customHeight="1" x14ac:dyDescent="0.3">
      <c r="A595" s="214" t="s">
        <v>19</v>
      </c>
      <c r="B595" s="215"/>
      <c r="C595" s="215"/>
      <c r="D595" s="215"/>
      <c r="E595" s="147"/>
      <c r="F595" s="106"/>
      <c r="G595" s="106"/>
      <c r="H595" s="107"/>
      <c r="I595" s="107">
        <f>SUM(I573:I592)</f>
        <v>47442.229030000002</v>
      </c>
      <c r="J595" s="107"/>
      <c r="K595" s="147"/>
    </row>
    <row r="596" spans="1:11" s="50" customFormat="1" ht="37.799999999999997" customHeight="1" x14ac:dyDescent="0.25">
      <c r="A596" s="104">
        <v>414</v>
      </c>
      <c r="B596" s="212" t="s">
        <v>662</v>
      </c>
      <c r="C596" s="148" t="s">
        <v>663</v>
      </c>
      <c r="D596" s="148" t="s">
        <v>394</v>
      </c>
      <c r="E596" s="148" t="s">
        <v>12</v>
      </c>
      <c r="F596" s="105">
        <v>18978.5</v>
      </c>
      <c r="G596" s="105">
        <v>18978.5</v>
      </c>
      <c r="H596" s="105">
        <v>0</v>
      </c>
      <c r="I596" s="105">
        <v>0</v>
      </c>
      <c r="J596" s="105">
        <v>0</v>
      </c>
      <c r="K596" s="148" t="s">
        <v>72</v>
      </c>
    </row>
    <row r="597" spans="1:11" s="50" customFormat="1" ht="42.6" customHeight="1" x14ac:dyDescent="0.25">
      <c r="A597" s="104">
        <f>A596+1</f>
        <v>415</v>
      </c>
      <c r="B597" s="212"/>
      <c r="C597" s="148" t="s">
        <v>664</v>
      </c>
      <c r="D597" s="148" t="s">
        <v>665</v>
      </c>
      <c r="E597" s="148" t="s">
        <v>12</v>
      </c>
      <c r="F597" s="105">
        <v>5434.4</v>
      </c>
      <c r="G597" s="105">
        <v>5434.4</v>
      </c>
      <c r="H597" s="105">
        <v>0</v>
      </c>
      <c r="I597" s="105">
        <v>0</v>
      </c>
      <c r="J597" s="105">
        <v>0</v>
      </c>
      <c r="K597" s="148" t="s">
        <v>72</v>
      </c>
    </row>
    <row r="598" spans="1:11" s="50" customFormat="1" ht="55.8" customHeight="1" x14ac:dyDescent="0.25">
      <c r="A598" s="104">
        <f t="shared" ref="A598:A608" si="16">A597+1</f>
        <v>416</v>
      </c>
      <c r="B598" s="212"/>
      <c r="C598" s="148" t="s">
        <v>666</v>
      </c>
      <c r="D598" s="148" t="s">
        <v>667</v>
      </c>
      <c r="E598" s="148" t="s">
        <v>12</v>
      </c>
      <c r="F598" s="105">
        <v>801.36343999999997</v>
      </c>
      <c r="G598" s="105">
        <v>801.36343999999997</v>
      </c>
      <c r="H598" s="105">
        <v>0</v>
      </c>
      <c r="I598" s="105">
        <v>0</v>
      </c>
      <c r="J598" s="105">
        <v>0</v>
      </c>
      <c r="K598" s="148" t="s">
        <v>72</v>
      </c>
    </row>
    <row r="599" spans="1:11" s="50" customFormat="1" ht="41.4" customHeight="1" x14ac:dyDescent="0.25">
      <c r="A599" s="104">
        <f t="shared" si="16"/>
        <v>417</v>
      </c>
      <c r="B599" s="212"/>
      <c r="C599" s="148" t="s">
        <v>668</v>
      </c>
      <c r="D599" s="148" t="s">
        <v>295</v>
      </c>
      <c r="E599" s="148" t="s">
        <v>12</v>
      </c>
      <c r="F599" s="105">
        <v>2118.9467400000003</v>
      </c>
      <c r="G599" s="105">
        <v>2118.9467400000003</v>
      </c>
      <c r="H599" s="105">
        <v>0</v>
      </c>
      <c r="I599" s="105">
        <v>0</v>
      </c>
      <c r="J599" s="105">
        <v>0</v>
      </c>
      <c r="K599" s="148" t="s">
        <v>72</v>
      </c>
    </row>
    <row r="600" spans="1:11" s="50" customFormat="1" ht="41.4" customHeight="1" x14ac:dyDescent="0.25">
      <c r="A600" s="104">
        <f t="shared" si="16"/>
        <v>418</v>
      </c>
      <c r="B600" s="212"/>
      <c r="C600" s="148" t="s">
        <v>669</v>
      </c>
      <c r="D600" s="148" t="s">
        <v>235</v>
      </c>
      <c r="E600" s="148" t="s">
        <v>12</v>
      </c>
      <c r="F600" s="105">
        <v>2071.65</v>
      </c>
      <c r="G600" s="105">
        <v>2071.65</v>
      </c>
      <c r="H600" s="105">
        <v>0</v>
      </c>
      <c r="I600" s="105">
        <v>0</v>
      </c>
      <c r="J600" s="105">
        <v>0</v>
      </c>
      <c r="K600" s="148" t="s">
        <v>72</v>
      </c>
    </row>
    <row r="601" spans="1:11" s="50" customFormat="1" ht="41.4" customHeight="1" x14ac:dyDescent="0.25">
      <c r="A601" s="104">
        <f t="shared" si="16"/>
        <v>419</v>
      </c>
      <c r="B601" s="212"/>
      <c r="C601" s="148" t="s">
        <v>670</v>
      </c>
      <c r="D601" s="148" t="s">
        <v>243</v>
      </c>
      <c r="E601" s="148" t="s">
        <v>12</v>
      </c>
      <c r="F601" s="105">
        <v>1380.7251699999999</v>
      </c>
      <c r="G601" s="105">
        <v>1380.7251699999999</v>
      </c>
      <c r="H601" s="105">
        <v>0</v>
      </c>
      <c r="I601" s="105">
        <v>0</v>
      </c>
      <c r="J601" s="105">
        <v>0</v>
      </c>
      <c r="K601" s="148" t="s">
        <v>72</v>
      </c>
    </row>
    <row r="602" spans="1:11" s="50" customFormat="1" ht="41.4" customHeight="1" x14ac:dyDescent="0.25">
      <c r="A602" s="104">
        <f t="shared" si="16"/>
        <v>420</v>
      </c>
      <c r="B602" s="212"/>
      <c r="C602" s="148" t="s">
        <v>671</v>
      </c>
      <c r="D602" s="148" t="s">
        <v>243</v>
      </c>
      <c r="E602" s="148" t="s">
        <v>12</v>
      </c>
      <c r="F602" s="105">
        <v>585.9144</v>
      </c>
      <c r="G602" s="105">
        <v>585.9144</v>
      </c>
      <c r="H602" s="105">
        <v>0</v>
      </c>
      <c r="I602" s="105">
        <v>0</v>
      </c>
      <c r="J602" s="105">
        <v>0</v>
      </c>
      <c r="K602" s="148" t="s">
        <v>72</v>
      </c>
    </row>
    <row r="603" spans="1:11" s="50" customFormat="1" ht="41.4" customHeight="1" x14ac:dyDescent="0.25">
      <c r="A603" s="104">
        <f t="shared" si="16"/>
        <v>421</v>
      </c>
      <c r="B603" s="212"/>
      <c r="C603" s="148" t="s">
        <v>672</v>
      </c>
      <c r="D603" s="148" t="s">
        <v>243</v>
      </c>
      <c r="E603" s="148" t="s">
        <v>12</v>
      </c>
      <c r="F603" s="105">
        <v>4882.0196599999999</v>
      </c>
      <c r="G603" s="105">
        <v>4882.0196599999999</v>
      </c>
      <c r="H603" s="105">
        <v>0</v>
      </c>
      <c r="I603" s="105">
        <v>0</v>
      </c>
      <c r="J603" s="105">
        <v>0</v>
      </c>
      <c r="K603" s="148" t="s">
        <v>72</v>
      </c>
    </row>
    <row r="604" spans="1:11" s="50" customFormat="1" ht="41.4" customHeight="1" x14ac:dyDescent="0.25">
      <c r="A604" s="104">
        <f t="shared" si="16"/>
        <v>422</v>
      </c>
      <c r="B604" s="212"/>
      <c r="C604" s="148" t="s">
        <v>673</v>
      </c>
      <c r="D604" s="148" t="s">
        <v>286</v>
      </c>
      <c r="E604" s="148" t="s">
        <v>12</v>
      </c>
      <c r="F604" s="105">
        <v>727.41499999999996</v>
      </c>
      <c r="G604" s="105">
        <v>727.41499999999996</v>
      </c>
      <c r="H604" s="105">
        <v>0</v>
      </c>
      <c r="I604" s="105">
        <v>0</v>
      </c>
      <c r="J604" s="105">
        <v>0</v>
      </c>
      <c r="K604" s="148" t="s">
        <v>72</v>
      </c>
    </row>
    <row r="605" spans="1:11" s="50" customFormat="1" ht="41.4" customHeight="1" x14ac:dyDescent="0.25">
      <c r="A605" s="104">
        <f t="shared" si="16"/>
        <v>423</v>
      </c>
      <c r="B605" s="212"/>
      <c r="C605" s="148" t="s">
        <v>674</v>
      </c>
      <c r="D605" s="148" t="s">
        <v>286</v>
      </c>
      <c r="E605" s="148" t="s">
        <v>12</v>
      </c>
      <c r="F605" s="105">
        <v>1483.1959999999999</v>
      </c>
      <c r="G605" s="105">
        <v>1483.1959999999999</v>
      </c>
      <c r="H605" s="105">
        <v>0</v>
      </c>
      <c r="I605" s="105">
        <v>0</v>
      </c>
      <c r="J605" s="105">
        <v>0</v>
      </c>
      <c r="K605" s="148" t="s">
        <v>72</v>
      </c>
    </row>
    <row r="606" spans="1:11" s="50" customFormat="1" ht="41.4" customHeight="1" x14ac:dyDescent="0.25">
      <c r="A606" s="104">
        <f t="shared" si="16"/>
        <v>424</v>
      </c>
      <c r="B606" s="212"/>
      <c r="C606" s="148" t="s">
        <v>675</v>
      </c>
      <c r="D606" s="148" t="s">
        <v>91</v>
      </c>
      <c r="E606" s="148" t="s">
        <v>12</v>
      </c>
      <c r="F606" s="105">
        <v>1341.8675000000001</v>
      </c>
      <c r="G606" s="105">
        <v>1341.8675000000001</v>
      </c>
      <c r="H606" s="105">
        <v>0</v>
      </c>
      <c r="I606" s="105">
        <v>0</v>
      </c>
      <c r="J606" s="105">
        <v>0</v>
      </c>
      <c r="K606" s="148" t="s">
        <v>72</v>
      </c>
    </row>
    <row r="607" spans="1:11" s="50" customFormat="1" ht="41.4" customHeight="1" x14ac:dyDescent="0.25">
      <c r="A607" s="104">
        <f t="shared" si="16"/>
        <v>425</v>
      </c>
      <c r="B607" s="212"/>
      <c r="C607" s="148" t="s">
        <v>676</v>
      </c>
      <c r="D607" s="148" t="s">
        <v>394</v>
      </c>
      <c r="E607" s="148" t="s">
        <v>12</v>
      </c>
      <c r="F607" s="105">
        <v>19311.259309999998</v>
      </c>
      <c r="G607" s="105">
        <v>0</v>
      </c>
      <c r="H607" s="105">
        <v>19311.259309999998</v>
      </c>
      <c r="I607" s="105">
        <v>0</v>
      </c>
      <c r="J607" s="105">
        <v>0</v>
      </c>
      <c r="K607" s="148" t="s">
        <v>316</v>
      </c>
    </row>
    <row r="608" spans="1:11" s="50" customFormat="1" ht="41.4" customHeight="1" x14ac:dyDescent="0.25">
      <c r="A608" s="104">
        <f t="shared" si="16"/>
        <v>426</v>
      </c>
      <c r="B608" s="212"/>
      <c r="C608" s="148" t="s">
        <v>677</v>
      </c>
      <c r="D608" s="148" t="s">
        <v>286</v>
      </c>
      <c r="E608" s="148" t="s">
        <v>12</v>
      </c>
      <c r="F608" s="105">
        <v>17962.845440000001</v>
      </c>
      <c r="G608" s="105">
        <v>0</v>
      </c>
      <c r="H608" s="105">
        <v>17962.845440000001</v>
      </c>
      <c r="I608" s="105">
        <v>0</v>
      </c>
      <c r="J608" s="105">
        <v>0</v>
      </c>
      <c r="K608" s="148" t="s">
        <v>316</v>
      </c>
    </row>
    <row r="609" spans="1:11" s="47" customFormat="1" ht="16.2" customHeight="1" x14ac:dyDescent="0.3">
      <c r="A609" s="213" t="s">
        <v>57</v>
      </c>
      <c r="B609" s="213"/>
      <c r="C609" s="213"/>
      <c r="D609" s="213"/>
      <c r="E609" s="147"/>
      <c r="F609" s="106"/>
      <c r="G609" s="107">
        <f>SUM(G596:G608)</f>
        <v>39805.997910000013</v>
      </c>
      <c r="H609" s="107"/>
      <c r="I609" s="107"/>
      <c r="J609" s="107"/>
      <c r="K609" s="147"/>
    </row>
    <row r="610" spans="1:11" s="49" customFormat="1" ht="15.6" customHeight="1" x14ac:dyDescent="0.3">
      <c r="A610" s="214" t="s">
        <v>62</v>
      </c>
      <c r="B610" s="215"/>
      <c r="C610" s="215"/>
      <c r="D610" s="215"/>
      <c r="E610" s="147"/>
      <c r="F610" s="106"/>
      <c r="G610" s="106"/>
      <c r="H610" s="107">
        <f>SUM(H596:H608)</f>
        <v>37274.104749999999</v>
      </c>
      <c r="I610" s="107"/>
      <c r="J610" s="107"/>
      <c r="K610" s="147"/>
    </row>
    <row r="611" spans="1:11" s="49" customFormat="1" ht="15.6" customHeight="1" x14ac:dyDescent="0.3">
      <c r="A611" s="214" t="s">
        <v>19</v>
      </c>
      <c r="B611" s="215"/>
      <c r="C611" s="215"/>
      <c r="D611" s="215"/>
      <c r="E611" s="147"/>
      <c r="F611" s="106"/>
      <c r="G611" s="106"/>
      <c r="H611" s="107"/>
      <c r="I611" s="107">
        <f>SUM(I596:I608)</f>
        <v>0</v>
      </c>
      <c r="J611" s="107"/>
      <c r="K611" s="147"/>
    </row>
    <row r="612" spans="1:11" s="50" customFormat="1" ht="33.6" customHeight="1" x14ac:dyDescent="0.25">
      <c r="A612" s="104">
        <v>427</v>
      </c>
      <c r="B612" s="212" t="s">
        <v>678</v>
      </c>
      <c r="C612" s="148" t="s">
        <v>679</v>
      </c>
      <c r="D612" s="148" t="s">
        <v>286</v>
      </c>
      <c r="E612" s="148" t="s">
        <v>12</v>
      </c>
      <c r="F612" s="105">
        <v>509.71699999999998</v>
      </c>
      <c r="G612" s="105">
        <v>509.71699999999998</v>
      </c>
      <c r="H612" s="105">
        <v>0</v>
      </c>
      <c r="I612" s="105">
        <v>0</v>
      </c>
      <c r="J612" s="105">
        <v>0</v>
      </c>
      <c r="K612" s="148" t="s">
        <v>72</v>
      </c>
    </row>
    <row r="613" spans="1:11" s="50" customFormat="1" ht="33.6" customHeight="1" x14ac:dyDescent="0.25">
      <c r="A613" s="104">
        <f>A612+1</f>
        <v>428</v>
      </c>
      <c r="B613" s="212"/>
      <c r="C613" s="148" t="s">
        <v>680</v>
      </c>
      <c r="D613" s="148" t="s">
        <v>235</v>
      </c>
      <c r="E613" s="148" t="s">
        <v>12</v>
      </c>
      <c r="F613" s="105">
        <v>1776.9297300000001</v>
      </c>
      <c r="G613" s="105">
        <v>1776.9297300000001</v>
      </c>
      <c r="H613" s="105">
        <v>0</v>
      </c>
      <c r="I613" s="105">
        <v>0</v>
      </c>
      <c r="J613" s="105">
        <v>0</v>
      </c>
      <c r="K613" s="148" t="s">
        <v>72</v>
      </c>
    </row>
    <row r="614" spans="1:11" s="50" customFormat="1" ht="33.6" customHeight="1" x14ac:dyDescent="0.25">
      <c r="A614" s="104">
        <f t="shared" ref="A614:A626" si="17">A613+1</f>
        <v>429</v>
      </c>
      <c r="B614" s="212"/>
      <c r="C614" s="148" t="s">
        <v>681</v>
      </c>
      <c r="D614" s="148" t="s">
        <v>682</v>
      </c>
      <c r="E614" s="148" t="s">
        <v>12</v>
      </c>
      <c r="F614" s="105">
        <v>229.96350000000001</v>
      </c>
      <c r="G614" s="105">
        <v>229.96350000000001</v>
      </c>
      <c r="H614" s="105">
        <v>0</v>
      </c>
      <c r="I614" s="105">
        <v>0</v>
      </c>
      <c r="J614" s="105">
        <v>0</v>
      </c>
      <c r="K614" s="148" t="s">
        <v>72</v>
      </c>
    </row>
    <row r="615" spans="1:11" s="50" customFormat="1" ht="33.6" customHeight="1" x14ac:dyDescent="0.25">
      <c r="A615" s="104">
        <f t="shared" si="17"/>
        <v>430</v>
      </c>
      <c r="B615" s="212"/>
      <c r="C615" s="148" t="s">
        <v>683</v>
      </c>
      <c r="D615" s="148" t="s">
        <v>500</v>
      </c>
      <c r="E615" s="148" t="s">
        <v>12</v>
      </c>
      <c r="F615" s="105">
        <v>920</v>
      </c>
      <c r="G615" s="105">
        <v>920</v>
      </c>
      <c r="H615" s="105">
        <v>0</v>
      </c>
      <c r="I615" s="105">
        <v>0</v>
      </c>
      <c r="J615" s="105">
        <v>0</v>
      </c>
      <c r="K615" s="148" t="s">
        <v>72</v>
      </c>
    </row>
    <row r="616" spans="1:11" s="50" customFormat="1" ht="33.6" customHeight="1" x14ac:dyDescent="0.25">
      <c r="A616" s="104">
        <f t="shared" si="17"/>
        <v>431</v>
      </c>
      <c r="B616" s="212"/>
      <c r="C616" s="148" t="s">
        <v>684</v>
      </c>
      <c r="D616" s="148" t="s">
        <v>235</v>
      </c>
      <c r="E616" s="148" t="s">
        <v>12</v>
      </c>
      <c r="F616" s="105">
        <v>7490.085</v>
      </c>
      <c r="G616" s="105">
        <v>0</v>
      </c>
      <c r="H616" s="105">
        <v>7490.085</v>
      </c>
      <c r="I616" s="105">
        <v>0</v>
      </c>
      <c r="J616" s="105">
        <v>0</v>
      </c>
      <c r="K616" s="148" t="s">
        <v>72</v>
      </c>
    </row>
    <row r="617" spans="1:11" s="50" customFormat="1" ht="33.6" customHeight="1" x14ac:dyDescent="0.25">
      <c r="A617" s="104">
        <f t="shared" si="17"/>
        <v>432</v>
      </c>
      <c r="B617" s="212"/>
      <c r="C617" s="148" t="s">
        <v>685</v>
      </c>
      <c r="D617" s="148" t="s">
        <v>369</v>
      </c>
      <c r="E617" s="148" t="s">
        <v>12</v>
      </c>
      <c r="F617" s="105">
        <v>608.73805000000004</v>
      </c>
      <c r="G617" s="105">
        <v>0</v>
      </c>
      <c r="H617" s="105">
        <v>608.73805000000004</v>
      </c>
      <c r="I617" s="105">
        <v>0</v>
      </c>
      <c r="J617" s="105">
        <v>0</v>
      </c>
      <c r="K617" s="148" t="s">
        <v>72</v>
      </c>
    </row>
    <row r="618" spans="1:11" s="50" customFormat="1" ht="33.6" customHeight="1" x14ac:dyDescent="0.25">
      <c r="A618" s="104">
        <f t="shared" si="17"/>
        <v>433</v>
      </c>
      <c r="B618" s="212"/>
      <c r="C618" s="148" t="s">
        <v>686</v>
      </c>
      <c r="D618" s="148" t="s">
        <v>286</v>
      </c>
      <c r="E618" s="148" t="s">
        <v>12</v>
      </c>
      <c r="F618" s="105">
        <v>1196.69958</v>
      </c>
      <c r="G618" s="105">
        <v>0</v>
      </c>
      <c r="H618" s="105">
        <v>1196.69958</v>
      </c>
      <c r="I618" s="105">
        <v>0</v>
      </c>
      <c r="J618" s="105">
        <v>0</v>
      </c>
      <c r="K618" s="148" t="s">
        <v>72</v>
      </c>
    </row>
    <row r="619" spans="1:11" s="50" customFormat="1" ht="59.4" customHeight="1" x14ac:dyDescent="0.25">
      <c r="A619" s="104">
        <f t="shared" si="17"/>
        <v>434</v>
      </c>
      <c r="B619" s="212"/>
      <c r="C619" s="148" t="s">
        <v>687</v>
      </c>
      <c r="D619" s="148" t="s">
        <v>93</v>
      </c>
      <c r="E619" s="148" t="s">
        <v>12</v>
      </c>
      <c r="F619" s="105">
        <v>71.075699999999998</v>
      </c>
      <c r="G619" s="105">
        <v>71.075699999999998</v>
      </c>
      <c r="H619" s="105">
        <v>0</v>
      </c>
      <c r="I619" s="105">
        <v>0</v>
      </c>
      <c r="J619" s="105">
        <v>0</v>
      </c>
      <c r="K619" s="148" t="s">
        <v>72</v>
      </c>
    </row>
    <row r="620" spans="1:11" s="50" customFormat="1" ht="33.6" customHeight="1" x14ac:dyDescent="0.25">
      <c r="A620" s="104">
        <f t="shared" si="17"/>
        <v>435</v>
      </c>
      <c r="B620" s="212"/>
      <c r="C620" s="148" t="s">
        <v>688</v>
      </c>
      <c r="D620" s="148" t="s">
        <v>345</v>
      </c>
      <c r="E620" s="148" t="s">
        <v>12</v>
      </c>
      <c r="F620" s="105">
        <v>2775.6759999999999</v>
      </c>
      <c r="G620" s="105">
        <v>2775.6759999999999</v>
      </c>
      <c r="H620" s="105">
        <v>0</v>
      </c>
      <c r="I620" s="105">
        <v>0</v>
      </c>
      <c r="J620" s="105">
        <v>0</v>
      </c>
      <c r="K620" s="148" t="s">
        <v>72</v>
      </c>
    </row>
    <row r="621" spans="1:11" s="50" customFormat="1" ht="33.6" customHeight="1" x14ac:dyDescent="0.25">
      <c r="A621" s="104">
        <f t="shared" si="17"/>
        <v>436</v>
      </c>
      <c r="B621" s="212"/>
      <c r="C621" s="148" t="s">
        <v>689</v>
      </c>
      <c r="D621" s="148" t="s">
        <v>300</v>
      </c>
      <c r="E621" s="148" t="s">
        <v>12</v>
      </c>
      <c r="F621" s="105">
        <v>330</v>
      </c>
      <c r="G621" s="105">
        <v>330</v>
      </c>
      <c r="H621" s="105">
        <v>0</v>
      </c>
      <c r="I621" s="105">
        <v>0</v>
      </c>
      <c r="J621" s="105">
        <v>0</v>
      </c>
      <c r="K621" s="148" t="s">
        <v>72</v>
      </c>
    </row>
    <row r="622" spans="1:11" s="50" customFormat="1" ht="33.6" customHeight="1" x14ac:dyDescent="0.25">
      <c r="A622" s="104">
        <f t="shared" si="17"/>
        <v>437</v>
      </c>
      <c r="B622" s="212"/>
      <c r="C622" s="148" t="s">
        <v>690</v>
      </c>
      <c r="D622" s="148" t="s">
        <v>691</v>
      </c>
      <c r="E622" s="148" t="s">
        <v>12</v>
      </c>
      <c r="F622" s="105">
        <v>330</v>
      </c>
      <c r="G622" s="105">
        <v>330</v>
      </c>
      <c r="H622" s="105">
        <v>0</v>
      </c>
      <c r="I622" s="105">
        <v>0</v>
      </c>
      <c r="J622" s="105">
        <v>0</v>
      </c>
      <c r="K622" s="148" t="s">
        <v>72</v>
      </c>
    </row>
    <row r="623" spans="1:11" s="50" customFormat="1" ht="49.2" customHeight="1" x14ac:dyDescent="0.25">
      <c r="A623" s="104">
        <f t="shared" si="17"/>
        <v>438</v>
      </c>
      <c r="B623" s="212"/>
      <c r="C623" s="148" t="s">
        <v>692</v>
      </c>
      <c r="D623" s="148" t="s">
        <v>630</v>
      </c>
      <c r="E623" s="148" t="s">
        <v>12</v>
      </c>
      <c r="F623" s="105">
        <v>968.41800000000001</v>
      </c>
      <c r="G623" s="105">
        <v>968.41800000000001</v>
      </c>
      <c r="H623" s="105">
        <v>0</v>
      </c>
      <c r="I623" s="105">
        <v>0</v>
      </c>
      <c r="J623" s="105">
        <v>0</v>
      </c>
      <c r="K623" s="148" t="s">
        <v>72</v>
      </c>
    </row>
    <row r="624" spans="1:11" s="50" customFormat="1" ht="33.6" customHeight="1" x14ac:dyDescent="0.25">
      <c r="A624" s="104">
        <f t="shared" si="17"/>
        <v>439</v>
      </c>
      <c r="B624" s="212"/>
      <c r="C624" s="148" t="s">
        <v>693</v>
      </c>
      <c r="D624" s="148" t="s">
        <v>576</v>
      </c>
      <c r="E624" s="148" t="s">
        <v>12</v>
      </c>
      <c r="F624" s="105">
        <v>435.89429999999999</v>
      </c>
      <c r="G624" s="105">
        <v>435.89429999999999</v>
      </c>
      <c r="H624" s="105">
        <v>0</v>
      </c>
      <c r="I624" s="105">
        <v>0</v>
      </c>
      <c r="J624" s="105">
        <v>0</v>
      </c>
      <c r="K624" s="148" t="s">
        <v>72</v>
      </c>
    </row>
    <row r="625" spans="1:11" s="50" customFormat="1" ht="33.6" customHeight="1" x14ac:dyDescent="0.25">
      <c r="A625" s="104">
        <f t="shared" si="17"/>
        <v>440</v>
      </c>
      <c r="B625" s="212"/>
      <c r="C625" s="148" t="s">
        <v>694</v>
      </c>
      <c r="D625" s="148" t="s">
        <v>286</v>
      </c>
      <c r="E625" s="148" t="s">
        <v>12</v>
      </c>
      <c r="F625" s="105">
        <v>1196.69958</v>
      </c>
      <c r="G625" s="105">
        <v>0</v>
      </c>
      <c r="H625" s="105">
        <v>0</v>
      </c>
      <c r="I625" s="105">
        <v>1196.69958</v>
      </c>
      <c r="J625" s="105">
        <v>0</v>
      </c>
      <c r="K625" s="148" t="s">
        <v>614</v>
      </c>
    </row>
    <row r="626" spans="1:11" s="50" customFormat="1" ht="33.6" customHeight="1" x14ac:dyDescent="0.25">
      <c r="A626" s="104">
        <f t="shared" si="17"/>
        <v>441</v>
      </c>
      <c r="B626" s="212"/>
      <c r="C626" s="148" t="s">
        <v>695</v>
      </c>
      <c r="D626" s="148" t="s">
        <v>235</v>
      </c>
      <c r="E626" s="148" t="s">
        <v>12</v>
      </c>
      <c r="F626" s="105">
        <v>7490.085</v>
      </c>
      <c r="G626" s="105">
        <v>0</v>
      </c>
      <c r="H626" s="105">
        <v>0</v>
      </c>
      <c r="I626" s="105">
        <v>7490.085</v>
      </c>
      <c r="J626" s="105">
        <v>0</v>
      </c>
      <c r="K626" s="148" t="s">
        <v>614</v>
      </c>
    </row>
    <row r="627" spans="1:11" s="47" customFormat="1" ht="15.6" customHeight="1" x14ac:dyDescent="0.3">
      <c r="A627" s="213" t="s">
        <v>57</v>
      </c>
      <c r="B627" s="213"/>
      <c r="C627" s="213"/>
      <c r="D627" s="213"/>
      <c r="E627" s="147"/>
      <c r="F627" s="106"/>
      <c r="G627" s="107">
        <f>SUM(G612:G626)</f>
        <v>8347.6742299999987</v>
      </c>
      <c r="H627" s="107"/>
      <c r="I627" s="107"/>
      <c r="J627" s="107"/>
      <c r="K627" s="147"/>
    </row>
    <row r="628" spans="1:11" s="49" customFormat="1" ht="15.6" customHeight="1" x14ac:dyDescent="0.3">
      <c r="A628" s="214" t="s">
        <v>62</v>
      </c>
      <c r="B628" s="215"/>
      <c r="C628" s="215"/>
      <c r="D628" s="215"/>
      <c r="E628" s="147"/>
      <c r="F628" s="106"/>
      <c r="G628" s="106"/>
      <c r="H628" s="107">
        <f>SUM(H612:H626)</f>
        <v>9295.5226299999995</v>
      </c>
      <c r="I628" s="107"/>
      <c r="J628" s="107"/>
      <c r="K628" s="147"/>
    </row>
    <row r="629" spans="1:11" s="49" customFormat="1" ht="14.4" customHeight="1" x14ac:dyDescent="0.3">
      <c r="A629" s="214" t="s">
        <v>19</v>
      </c>
      <c r="B629" s="215"/>
      <c r="C629" s="215"/>
      <c r="D629" s="215"/>
      <c r="E629" s="147"/>
      <c r="F629" s="106"/>
      <c r="G629" s="106"/>
      <c r="H629" s="107"/>
      <c r="I629" s="107">
        <f>SUM(I612:I626)</f>
        <v>8686.7845799999996</v>
      </c>
      <c r="J629" s="107"/>
      <c r="K629" s="147"/>
    </row>
    <row r="630" spans="1:11" s="46" customFormat="1" ht="39" customHeight="1" x14ac:dyDescent="0.3">
      <c r="A630" s="104">
        <v>442</v>
      </c>
      <c r="B630" s="209" t="s">
        <v>696</v>
      </c>
      <c r="C630" s="148" t="s">
        <v>697</v>
      </c>
      <c r="D630" s="148" t="s">
        <v>323</v>
      </c>
      <c r="E630" s="146" t="s">
        <v>12</v>
      </c>
      <c r="F630" s="105">
        <v>6214.5</v>
      </c>
      <c r="G630" s="105">
        <v>6214.5</v>
      </c>
      <c r="H630" s="105">
        <v>0</v>
      </c>
      <c r="I630" s="105">
        <v>0</v>
      </c>
      <c r="J630" s="105">
        <v>0</v>
      </c>
      <c r="K630" s="148" t="s">
        <v>69</v>
      </c>
    </row>
    <row r="631" spans="1:11" s="46" customFormat="1" ht="39" customHeight="1" x14ac:dyDescent="0.3">
      <c r="A631" s="104">
        <f>A630+1</f>
        <v>443</v>
      </c>
      <c r="B631" s="209"/>
      <c r="C631" s="148" t="s">
        <v>698</v>
      </c>
      <c r="D631" s="148" t="s">
        <v>245</v>
      </c>
      <c r="E631" s="146" t="s">
        <v>12</v>
      </c>
      <c r="F631" s="105">
        <v>849.20013000000006</v>
      </c>
      <c r="G631" s="105">
        <v>849.20013000000006</v>
      </c>
      <c r="H631" s="105">
        <v>0</v>
      </c>
      <c r="I631" s="105">
        <v>0</v>
      </c>
      <c r="J631" s="105">
        <v>0</v>
      </c>
      <c r="K631" s="148" t="s">
        <v>69</v>
      </c>
    </row>
    <row r="632" spans="1:11" s="46" customFormat="1" ht="40.799999999999997" customHeight="1" x14ac:dyDescent="0.3">
      <c r="A632" s="104">
        <f t="shared" ref="A632:A656" si="18">A631+1</f>
        <v>444</v>
      </c>
      <c r="B632" s="209"/>
      <c r="C632" s="148" t="s">
        <v>699</v>
      </c>
      <c r="D632" s="148" t="s">
        <v>700</v>
      </c>
      <c r="E632" s="146" t="s">
        <v>12</v>
      </c>
      <c r="F632" s="105">
        <v>1800</v>
      </c>
      <c r="G632" s="105">
        <v>1800</v>
      </c>
      <c r="H632" s="105">
        <v>0</v>
      </c>
      <c r="I632" s="105">
        <v>0</v>
      </c>
      <c r="J632" s="105">
        <v>0</v>
      </c>
      <c r="K632" s="148" t="s">
        <v>76</v>
      </c>
    </row>
    <row r="633" spans="1:11" s="46" customFormat="1" ht="40.799999999999997" customHeight="1" x14ac:dyDescent="0.3">
      <c r="A633" s="104">
        <f t="shared" si="18"/>
        <v>445</v>
      </c>
      <c r="B633" s="209"/>
      <c r="C633" s="148" t="s">
        <v>701</v>
      </c>
      <c r="D633" s="148" t="s">
        <v>700</v>
      </c>
      <c r="E633" s="146" t="s">
        <v>12</v>
      </c>
      <c r="F633" s="105">
        <v>1400</v>
      </c>
      <c r="G633" s="105">
        <v>1400</v>
      </c>
      <c r="H633" s="105">
        <v>0</v>
      </c>
      <c r="I633" s="105">
        <v>0</v>
      </c>
      <c r="J633" s="105">
        <v>0</v>
      </c>
      <c r="K633" s="148" t="s">
        <v>76</v>
      </c>
    </row>
    <row r="634" spans="1:11" s="46" customFormat="1" ht="40.799999999999997" customHeight="1" x14ac:dyDescent="0.3">
      <c r="A634" s="104">
        <f t="shared" si="18"/>
        <v>446</v>
      </c>
      <c r="B634" s="209"/>
      <c r="C634" s="148" t="s">
        <v>702</v>
      </c>
      <c r="D634" s="148" t="s">
        <v>703</v>
      </c>
      <c r="E634" s="146" t="s">
        <v>12</v>
      </c>
      <c r="F634" s="105">
        <v>4338.9937699999991</v>
      </c>
      <c r="G634" s="105">
        <v>4338.9937699999991</v>
      </c>
      <c r="H634" s="105">
        <v>0</v>
      </c>
      <c r="I634" s="105">
        <v>0</v>
      </c>
      <c r="J634" s="105">
        <v>0</v>
      </c>
      <c r="K634" s="148" t="s">
        <v>72</v>
      </c>
    </row>
    <row r="635" spans="1:11" s="46" customFormat="1" ht="40.799999999999997" customHeight="1" x14ac:dyDescent="0.3">
      <c r="A635" s="104">
        <f t="shared" si="18"/>
        <v>447</v>
      </c>
      <c r="B635" s="209"/>
      <c r="C635" s="148" t="s">
        <v>704</v>
      </c>
      <c r="D635" s="148" t="s">
        <v>369</v>
      </c>
      <c r="E635" s="146" t="s">
        <v>12</v>
      </c>
      <c r="F635" s="105">
        <v>12702.6</v>
      </c>
      <c r="G635" s="105">
        <v>12702.6</v>
      </c>
      <c r="H635" s="105">
        <v>0</v>
      </c>
      <c r="I635" s="105">
        <v>0</v>
      </c>
      <c r="J635" s="105">
        <v>0</v>
      </c>
      <c r="K635" s="148" t="s">
        <v>72</v>
      </c>
    </row>
    <row r="636" spans="1:11" s="46" customFormat="1" ht="40.799999999999997" customHeight="1" x14ac:dyDescent="0.3">
      <c r="A636" s="104">
        <f t="shared" si="18"/>
        <v>448</v>
      </c>
      <c r="B636" s="209"/>
      <c r="C636" s="148" t="s">
        <v>705</v>
      </c>
      <c r="D636" s="148" t="s">
        <v>484</v>
      </c>
      <c r="E636" s="146" t="s">
        <v>12</v>
      </c>
      <c r="F636" s="105">
        <v>2533.34</v>
      </c>
      <c r="G636" s="105">
        <v>2533.34</v>
      </c>
      <c r="H636" s="105">
        <v>0</v>
      </c>
      <c r="I636" s="105">
        <v>0</v>
      </c>
      <c r="J636" s="105">
        <v>0</v>
      </c>
      <c r="K636" s="148" t="s">
        <v>72</v>
      </c>
    </row>
    <row r="637" spans="1:11" s="46" customFormat="1" ht="40.799999999999997" customHeight="1" x14ac:dyDescent="0.3">
      <c r="A637" s="104">
        <f t="shared" si="18"/>
        <v>449</v>
      </c>
      <c r="B637" s="209"/>
      <c r="C637" s="148" t="s">
        <v>706</v>
      </c>
      <c r="D637" s="148" t="s">
        <v>367</v>
      </c>
      <c r="E637" s="146" t="s">
        <v>12</v>
      </c>
      <c r="F637" s="105">
        <v>1414.42</v>
      </c>
      <c r="G637" s="105">
        <v>1414.42</v>
      </c>
      <c r="H637" s="105">
        <v>0</v>
      </c>
      <c r="I637" s="105">
        <v>0</v>
      </c>
      <c r="J637" s="105">
        <v>0</v>
      </c>
      <c r="K637" s="148" t="s">
        <v>72</v>
      </c>
    </row>
    <row r="638" spans="1:11" s="46" customFormat="1" ht="34.200000000000003" customHeight="1" x14ac:dyDescent="0.3">
      <c r="A638" s="104">
        <f t="shared" si="18"/>
        <v>450</v>
      </c>
      <c r="B638" s="209"/>
      <c r="C638" s="148" t="s">
        <v>707</v>
      </c>
      <c r="D638" s="148" t="s">
        <v>323</v>
      </c>
      <c r="E638" s="146" t="s">
        <v>12</v>
      </c>
      <c r="F638" s="105">
        <v>3458.64</v>
      </c>
      <c r="G638" s="105">
        <v>3458.64</v>
      </c>
      <c r="H638" s="105">
        <v>0</v>
      </c>
      <c r="I638" s="105">
        <v>0</v>
      </c>
      <c r="J638" s="105">
        <v>0</v>
      </c>
      <c r="K638" s="148" t="s">
        <v>72</v>
      </c>
    </row>
    <row r="639" spans="1:11" s="46" customFormat="1" ht="34.200000000000003" customHeight="1" x14ac:dyDescent="0.3">
      <c r="A639" s="104">
        <f t="shared" si="18"/>
        <v>451</v>
      </c>
      <c r="B639" s="209"/>
      <c r="C639" s="148" t="s">
        <v>708</v>
      </c>
      <c r="D639" s="148" t="s">
        <v>323</v>
      </c>
      <c r="E639" s="146" t="s">
        <v>12</v>
      </c>
      <c r="F639" s="105">
        <v>9917.9500000000007</v>
      </c>
      <c r="G639" s="105">
        <v>9917.9500000000007</v>
      </c>
      <c r="H639" s="105">
        <v>0</v>
      </c>
      <c r="I639" s="105">
        <v>0</v>
      </c>
      <c r="J639" s="105">
        <v>0</v>
      </c>
      <c r="K639" s="148" t="s">
        <v>72</v>
      </c>
    </row>
    <row r="640" spans="1:11" s="46" customFormat="1" ht="34.200000000000003" customHeight="1" x14ac:dyDescent="0.3">
      <c r="A640" s="104">
        <f t="shared" si="18"/>
        <v>452</v>
      </c>
      <c r="B640" s="209"/>
      <c r="C640" s="148" t="s">
        <v>709</v>
      </c>
      <c r="D640" s="148" t="s">
        <v>710</v>
      </c>
      <c r="E640" s="146" t="s">
        <v>12</v>
      </c>
      <c r="F640" s="105">
        <v>1850.32</v>
      </c>
      <c r="G640" s="105">
        <v>1850.32</v>
      </c>
      <c r="H640" s="105">
        <v>0</v>
      </c>
      <c r="I640" s="105">
        <v>0</v>
      </c>
      <c r="J640" s="105">
        <v>0</v>
      </c>
      <c r="K640" s="148" t="s">
        <v>72</v>
      </c>
    </row>
    <row r="641" spans="1:11" s="46" customFormat="1" ht="34.200000000000003" customHeight="1" x14ac:dyDescent="0.3">
      <c r="A641" s="104">
        <f t="shared" si="18"/>
        <v>453</v>
      </c>
      <c r="B641" s="209"/>
      <c r="C641" s="148" t="s">
        <v>711</v>
      </c>
      <c r="D641" s="148" t="s">
        <v>563</v>
      </c>
      <c r="E641" s="146" t="s">
        <v>12</v>
      </c>
      <c r="F641" s="105">
        <v>4489.3810000000003</v>
      </c>
      <c r="G641" s="105">
        <v>4489.3810000000003</v>
      </c>
      <c r="H641" s="105">
        <v>0</v>
      </c>
      <c r="I641" s="105">
        <v>0</v>
      </c>
      <c r="J641" s="105">
        <v>0</v>
      </c>
      <c r="K641" s="148" t="s">
        <v>72</v>
      </c>
    </row>
    <row r="642" spans="1:11" s="46" customFormat="1" ht="34.200000000000003" customHeight="1" x14ac:dyDescent="0.3">
      <c r="A642" s="104">
        <f t="shared" si="18"/>
        <v>454</v>
      </c>
      <c r="B642" s="209"/>
      <c r="C642" s="148" t="s">
        <v>712</v>
      </c>
      <c r="D642" s="148" t="s">
        <v>323</v>
      </c>
      <c r="E642" s="146" t="s">
        <v>12</v>
      </c>
      <c r="F642" s="105">
        <v>2876.5</v>
      </c>
      <c r="G642" s="105">
        <v>2876.5</v>
      </c>
      <c r="H642" s="105">
        <v>0</v>
      </c>
      <c r="I642" s="105">
        <v>0</v>
      </c>
      <c r="J642" s="105">
        <v>0</v>
      </c>
      <c r="K642" s="148" t="s">
        <v>72</v>
      </c>
    </row>
    <row r="643" spans="1:11" s="46" customFormat="1" ht="30.6" customHeight="1" x14ac:dyDescent="0.3">
      <c r="A643" s="104">
        <f t="shared" si="18"/>
        <v>455</v>
      </c>
      <c r="B643" s="209"/>
      <c r="C643" s="148" t="s">
        <v>713</v>
      </c>
      <c r="D643" s="148" t="s">
        <v>235</v>
      </c>
      <c r="E643" s="146" t="s">
        <v>12</v>
      </c>
      <c r="F643" s="105">
        <v>1985</v>
      </c>
      <c r="G643" s="105">
        <v>1985</v>
      </c>
      <c r="H643" s="105">
        <v>0</v>
      </c>
      <c r="I643" s="105">
        <v>0</v>
      </c>
      <c r="J643" s="105">
        <v>0</v>
      </c>
      <c r="K643" s="148" t="s">
        <v>72</v>
      </c>
    </row>
    <row r="644" spans="1:11" s="46" customFormat="1" ht="34.799999999999997" customHeight="1" x14ac:dyDescent="0.3">
      <c r="A644" s="104">
        <f t="shared" si="18"/>
        <v>456</v>
      </c>
      <c r="B644" s="209"/>
      <c r="C644" s="148" t="s">
        <v>714</v>
      </c>
      <c r="D644" s="148" t="s">
        <v>323</v>
      </c>
      <c r="E644" s="146" t="s">
        <v>12</v>
      </c>
      <c r="F644" s="105">
        <v>7960.9650000000001</v>
      </c>
      <c r="G644" s="105">
        <v>7960.9650000000001</v>
      </c>
      <c r="H644" s="105">
        <v>0</v>
      </c>
      <c r="I644" s="105">
        <v>0</v>
      </c>
      <c r="J644" s="105">
        <v>0</v>
      </c>
      <c r="K644" s="148" t="s">
        <v>72</v>
      </c>
    </row>
    <row r="645" spans="1:11" s="46" customFormat="1" ht="35.4" customHeight="1" x14ac:dyDescent="0.3">
      <c r="A645" s="104">
        <f t="shared" si="18"/>
        <v>457</v>
      </c>
      <c r="B645" s="209"/>
      <c r="C645" s="148" t="s">
        <v>715</v>
      </c>
      <c r="D645" s="148" t="s">
        <v>703</v>
      </c>
      <c r="E645" s="146" t="s">
        <v>12</v>
      </c>
      <c r="F645" s="105">
        <v>2596.5729000000001</v>
      </c>
      <c r="G645" s="105">
        <v>2596.5729000000001</v>
      </c>
      <c r="H645" s="105">
        <v>0</v>
      </c>
      <c r="I645" s="105">
        <v>0</v>
      </c>
      <c r="J645" s="105">
        <v>0</v>
      </c>
      <c r="K645" s="148" t="s">
        <v>72</v>
      </c>
    </row>
    <row r="646" spans="1:11" s="46" customFormat="1" ht="32.4" customHeight="1" x14ac:dyDescent="0.3">
      <c r="A646" s="104">
        <f t="shared" si="18"/>
        <v>458</v>
      </c>
      <c r="B646" s="209"/>
      <c r="C646" s="148" t="s">
        <v>716</v>
      </c>
      <c r="D646" s="148" t="s">
        <v>563</v>
      </c>
      <c r="E646" s="146" t="s">
        <v>12</v>
      </c>
      <c r="F646" s="105">
        <v>5236.9480000000003</v>
      </c>
      <c r="G646" s="105">
        <v>5236.9480000000003</v>
      </c>
      <c r="H646" s="105">
        <v>0</v>
      </c>
      <c r="I646" s="105">
        <v>0</v>
      </c>
      <c r="J646" s="105">
        <v>0</v>
      </c>
      <c r="K646" s="148" t="s">
        <v>72</v>
      </c>
    </row>
    <row r="647" spans="1:11" s="46" customFormat="1" ht="45" customHeight="1" x14ac:dyDescent="0.3">
      <c r="A647" s="104">
        <f t="shared" si="18"/>
        <v>459</v>
      </c>
      <c r="B647" s="209"/>
      <c r="C647" s="148" t="s">
        <v>717</v>
      </c>
      <c r="D647" s="148" t="s">
        <v>718</v>
      </c>
      <c r="E647" s="146" t="s">
        <v>12</v>
      </c>
      <c r="F647" s="105">
        <v>12389.09777</v>
      </c>
      <c r="G647" s="105">
        <v>0</v>
      </c>
      <c r="H647" s="105">
        <v>12389.09777</v>
      </c>
      <c r="I647" s="105">
        <v>0</v>
      </c>
      <c r="J647" s="105">
        <v>0</v>
      </c>
      <c r="K647" s="148" t="s">
        <v>282</v>
      </c>
    </row>
    <row r="648" spans="1:11" s="46" customFormat="1" ht="33.6" customHeight="1" x14ac:dyDescent="0.3">
      <c r="A648" s="104">
        <f t="shared" si="18"/>
        <v>460</v>
      </c>
      <c r="B648" s="209"/>
      <c r="C648" s="148" t="s">
        <v>719</v>
      </c>
      <c r="D648" s="148" t="s">
        <v>546</v>
      </c>
      <c r="E648" s="146" t="s">
        <v>12</v>
      </c>
      <c r="F648" s="105">
        <v>17691.256000000001</v>
      </c>
      <c r="G648" s="105">
        <v>0</v>
      </c>
      <c r="H648" s="105">
        <v>17691.256000000001</v>
      </c>
      <c r="I648" s="105">
        <v>0</v>
      </c>
      <c r="J648" s="105">
        <v>0</v>
      </c>
      <c r="K648" s="148" t="s">
        <v>282</v>
      </c>
    </row>
    <row r="649" spans="1:11" s="46" customFormat="1" ht="26.4" x14ac:dyDescent="0.3">
      <c r="A649" s="104">
        <f t="shared" si="18"/>
        <v>461</v>
      </c>
      <c r="B649" s="209"/>
      <c r="C649" s="148" t="s">
        <v>720</v>
      </c>
      <c r="D649" s="148" t="s">
        <v>243</v>
      </c>
      <c r="E649" s="146" t="s">
        <v>12</v>
      </c>
      <c r="F649" s="105">
        <v>2589.2199999999998</v>
      </c>
      <c r="G649" s="105">
        <v>0</v>
      </c>
      <c r="H649" s="105">
        <v>2589.2199999999998</v>
      </c>
      <c r="I649" s="105">
        <v>0</v>
      </c>
      <c r="J649" s="105">
        <v>0</v>
      </c>
      <c r="K649" s="148" t="s">
        <v>316</v>
      </c>
    </row>
    <row r="650" spans="1:11" s="46" customFormat="1" ht="26.4" x14ac:dyDescent="0.3">
      <c r="A650" s="104">
        <f t="shared" si="18"/>
        <v>462</v>
      </c>
      <c r="B650" s="209"/>
      <c r="C650" s="148" t="s">
        <v>721</v>
      </c>
      <c r="D650" s="148" t="s">
        <v>245</v>
      </c>
      <c r="E650" s="146" t="s">
        <v>12</v>
      </c>
      <c r="F650" s="105">
        <v>8340.77</v>
      </c>
      <c r="G650" s="105">
        <v>0</v>
      </c>
      <c r="H650" s="105">
        <v>8340.77</v>
      </c>
      <c r="I650" s="105">
        <v>0</v>
      </c>
      <c r="J650" s="105">
        <v>0</v>
      </c>
      <c r="K650" s="148" t="s">
        <v>282</v>
      </c>
    </row>
    <row r="651" spans="1:11" s="46" customFormat="1" ht="26.4" x14ac:dyDescent="0.3">
      <c r="A651" s="104">
        <f t="shared" si="18"/>
        <v>463</v>
      </c>
      <c r="B651" s="209"/>
      <c r="C651" s="148" t="s">
        <v>722</v>
      </c>
      <c r="D651" s="148" t="s">
        <v>723</v>
      </c>
      <c r="E651" s="146" t="s">
        <v>12</v>
      </c>
      <c r="F651" s="105">
        <v>17467.830969999999</v>
      </c>
      <c r="G651" s="105">
        <v>0</v>
      </c>
      <c r="H651" s="105">
        <v>17467.830969999999</v>
      </c>
      <c r="I651" s="105">
        <v>0</v>
      </c>
      <c r="J651" s="105">
        <v>0</v>
      </c>
      <c r="K651" s="148" t="s">
        <v>316</v>
      </c>
    </row>
    <row r="652" spans="1:11" s="46" customFormat="1" ht="36" customHeight="1" x14ac:dyDescent="0.3">
      <c r="A652" s="104">
        <f t="shared" si="18"/>
        <v>464</v>
      </c>
      <c r="B652" s="209"/>
      <c r="C652" s="148" t="s">
        <v>724</v>
      </c>
      <c r="D652" s="148" t="s">
        <v>725</v>
      </c>
      <c r="E652" s="146" t="s">
        <v>12</v>
      </c>
      <c r="F652" s="105">
        <v>12389.09777</v>
      </c>
      <c r="G652" s="105">
        <v>0</v>
      </c>
      <c r="H652" s="105">
        <v>0</v>
      </c>
      <c r="I652" s="105">
        <v>12389.09777</v>
      </c>
      <c r="J652" s="105">
        <v>0</v>
      </c>
      <c r="K652" s="148" t="s">
        <v>318</v>
      </c>
    </row>
    <row r="653" spans="1:11" s="46" customFormat="1" ht="34.200000000000003" customHeight="1" x14ac:dyDescent="0.3">
      <c r="A653" s="104">
        <f t="shared" si="18"/>
        <v>465</v>
      </c>
      <c r="B653" s="209"/>
      <c r="C653" s="148" t="s">
        <v>726</v>
      </c>
      <c r="D653" s="148" t="s">
        <v>727</v>
      </c>
      <c r="E653" s="146" t="s">
        <v>12</v>
      </c>
      <c r="F653" s="105">
        <v>17691.256000000001</v>
      </c>
      <c r="G653" s="105">
        <v>0</v>
      </c>
      <c r="H653" s="105">
        <v>0</v>
      </c>
      <c r="I653" s="105">
        <v>17691.256000000001</v>
      </c>
      <c r="J653" s="105">
        <v>0</v>
      </c>
      <c r="K653" s="148" t="s">
        <v>318</v>
      </c>
    </row>
    <row r="654" spans="1:11" s="46" customFormat="1" ht="37.200000000000003" customHeight="1" x14ac:dyDescent="0.3">
      <c r="A654" s="104">
        <f t="shared" si="18"/>
        <v>466</v>
      </c>
      <c r="B654" s="209"/>
      <c r="C654" s="148" t="s">
        <v>728</v>
      </c>
      <c r="D654" s="148" t="s">
        <v>243</v>
      </c>
      <c r="E654" s="146" t="s">
        <v>12</v>
      </c>
      <c r="F654" s="105">
        <v>2589.2199999999998</v>
      </c>
      <c r="G654" s="105">
        <v>0</v>
      </c>
      <c r="H654" s="105">
        <v>0</v>
      </c>
      <c r="I654" s="105">
        <v>2589.2199999999998</v>
      </c>
      <c r="J654" s="105">
        <v>0</v>
      </c>
      <c r="K654" s="148" t="s">
        <v>359</v>
      </c>
    </row>
    <row r="655" spans="1:11" s="46" customFormat="1" ht="37.200000000000003" customHeight="1" x14ac:dyDescent="0.3">
      <c r="A655" s="104">
        <f t="shared" si="18"/>
        <v>467</v>
      </c>
      <c r="B655" s="209"/>
      <c r="C655" s="148" t="s">
        <v>729</v>
      </c>
      <c r="D655" s="148" t="s">
        <v>245</v>
      </c>
      <c r="E655" s="146" t="s">
        <v>12</v>
      </c>
      <c r="F655" s="105">
        <v>8340.77</v>
      </c>
      <c r="G655" s="105">
        <v>0</v>
      </c>
      <c r="H655" s="105">
        <v>0</v>
      </c>
      <c r="I655" s="105">
        <v>8340.77</v>
      </c>
      <c r="J655" s="105">
        <v>0</v>
      </c>
      <c r="K655" s="148" t="s">
        <v>318</v>
      </c>
    </row>
    <row r="656" spans="1:11" s="46" customFormat="1" ht="37.200000000000003" customHeight="1" x14ac:dyDescent="0.3">
      <c r="A656" s="104">
        <f t="shared" si="18"/>
        <v>468</v>
      </c>
      <c r="B656" s="209"/>
      <c r="C656" s="148" t="s">
        <v>730</v>
      </c>
      <c r="D656" s="148" t="s">
        <v>723</v>
      </c>
      <c r="E656" s="146" t="s">
        <v>12</v>
      </c>
      <c r="F656" s="105">
        <v>17467.830969999999</v>
      </c>
      <c r="G656" s="105">
        <v>0</v>
      </c>
      <c r="H656" s="105">
        <v>0</v>
      </c>
      <c r="I656" s="105">
        <v>17467.830969999999</v>
      </c>
      <c r="J656" s="105">
        <v>0</v>
      </c>
      <c r="K656" s="148" t="s">
        <v>359</v>
      </c>
    </row>
    <row r="657" spans="1:11" s="47" customFormat="1" ht="15.6" customHeight="1" x14ac:dyDescent="0.3">
      <c r="A657" s="213" t="s">
        <v>57</v>
      </c>
      <c r="B657" s="213"/>
      <c r="C657" s="213"/>
      <c r="D657" s="213"/>
      <c r="E657" s="147"/>
      <c r="F657" s="106"/>
      <c r="G657" s="107">
        <f>SUM(G630:G656)</f>
        <v>71625.330799999996</v>
      </c>
      <c r="H657" s="107"/>
      <c r="I657" s="107"/>
      <c r="J657" s="107"/>
      <c r="K657" s="147"/>
    </row>
    <row r="658" spans="1:11" s="49" customFormat="1" ht="17.399999999999999" customHeight="1" x14ac:dyDescent="0.3">
      <c r="A658" s="214" t="s">
        <v>62</v>
      </c>
      <c r="B658" s="215"/>
      <c r="C658" s="215"/>
      <c r="D658" s="215"/>
      <c r="E658" s="147"/>
      <c r="F658" s="106"/>
      <c r="G658" s="106"/>
      <c r="H658" s="107">
        <f>SUM(H630:H656)</f>
        <v>58478.174740000002</v>
      </c>
      <c r="I658" s="107"/>
      <c r="J658" s="107"/>
      <c r="K658" s="147"/>
    </row>
    <row r="659" spans="1:11" s="49" customFormat="1" ht="18.600000000000001" customHeight="1" x14ac:dyDescent="0.3">
      <c r="A659" s="214" t="s">
        <v>19</v>
      </c>
      <c r="B659" s="215"/>
      <c r="C659" s="215"/>
      <c r="D659" s="215"/>
      <c r="E659" s="147"/>
      <c r="F659" s="106"/>
      <c r="G659" s="106"/>
      <c r="H659" s="107"/>
      <c r="I659" s="107">
        <f>SUM(I630:I656)</f>
        <v>58478.174740000002</v>
      </c>
      <c r="J659" s="107"/>
      <c r="K659" s="147"/>
    </row>
    <row r="660" spans="1:11" s="50" customFormat="1" ht="34.200000000000003" customHeight="1" x14ac:dyDescent="0.25">
      <c r="A660" s="104">
        <v>469</v>
      </c>
      <c r="B660" s="212" t="s">
        <v>731</v>
      </c>
      <c r="C660" s="148" t="s">
        <v>732</v>
      </c>
      <c r="D660" s="148" t="s">
        <v>243</v>
      </c>
      <c r="E660" s="148" t="s">
        <v>12</v>
      </c>
      <c r="F660" s="105">
        <v>3440.049</v>
      </c>
      <c r="G660" s="105">
        <v>3440.049</v>
      </c>
      <c r="H660" s="105">
        <v>0</v>
      </c>
      <c r="I660" s="105">
        <v>0</v>
      </c>
      <c r="J660" s="105">
        <v>0</v>
      </c>
      <c r="K660" s="148" t="s">
        <v>72</v>
      </c>
    </row>
    <row r="661" spans="1:11" s="50" customFormat="1" ht="34.200000000000003" customHeight="1" x14ac:dyDescent="0.25">
      <c r="A661" s="104">
        <f>A660+1</f>
        <v>470</v>
      </c>
      <c r="B661" s="212"/>
      <c r="C661" s="148" t="s">
        <v>733</v>
      </c>
      <c r="D661" s="148" t="s">
        <v>436</v>
      </c>
      <c r="E661" s="148" t="s">
        <v>12</v>
      </c>
      <c r="F661" s="105">
        <v>718.42200000000003</v>
      </c>
      <c r="G661" s="105">
        <v>718.42200000000003</v>
      </c>
      <c r="H661" s="105">
        <v>0</v>
      </c>
      <c r="I661" s="105">
        <v>0</v>
      </c>
      <c r="J661" s="105">
        <v>0</v>
      </c>
      <c r="K661" s="148" t="s">
        <v>72</v>
      </c>
    </row>
    <row r="662" spans="1:11" s="50" customFormat="1" ht="34.200000000000003" customHeight="1" x14ac:dyDescent="0.25">
      <c r="A662" s="104">
        <f t="shared" ref="A662:A677" si="19">A661+1</f>
        <v>471</v>
      </c>
      <c r="B662" s="212"/>
      <c r="C662" s="148" t="s">
        <v>734</v>
      </c>
      <c r="D662" s="148" t="s">
        <v>428</v>
      </c>
      <c r="E662" s="148" t="s">
        <v>12</v>
      </c>
      <c r="F662" s="105">
        <v>6395.9870000000001</v>
      </c>
      <c r="G662" s="105">
        <v>6395.9870000000001</v>
      </c>
      <c r="H662" s="105">
        <v>0</v>
      </c>
      <c r="I662" s="105">
        <v>0</v>
      </c>
      <c r="J662" s="105">
        <v>0</v>
      </c>
      <c r="K662" s="148" t="s">
        <v>72</v>
      </c>
    </row>
    <row r="663" spans="1:11" s="50" customFormat="1" ht="26.4" customHeight="1" x14ac:dyDescent="0.25">
      <c r="A663" s="104">
        <f t="shared" si="19"/>
        <v>472</v>
      </c>
      <c r="B663" s="212"/>
      <c r="C663" s="148" t="s">
        <v>735</v>
      </c>
      <c r="D663" s="148" t="s">
        <v>243</v>
      </c>
      <c r="E663" s="148" t="s">
        <v>12</v>
      </c>
      <c r="F663" s="105">
        <v>17139.740000000002</v>
      </c>
      <c r="G663" s="105">
        <v>0</v>
      </c>
      <c r="H663" s="105">
        <v>8569.8700000000008</v>
      </c>
      <c r="I663" s="105">
        <v>8569.8700000000008</v>
      </c>
      <c r="J663" s="105">
        <v>0</v>
      </c>
      <c r="K663" s="148" t="s">
        <v>72</v>
      </c>
    </row>
    <row r="664" spans="1:11" s="50" customFormat="1" ht="70.8" customHeight="1" x14ac:dyDescent="0.25">
      <c r="A664" s="104">
        <f t="shared" si="19"/>
        <v>473</v>
      </c>
      <c r="B664" s="212"/>
      <c r="C664" s="148" t="s">
        <v>736</v>
      </c>
      <c r="D664" s="148" t="s">
        <v>93</v>
      </c>
      <c r="E664" s="148" t="s">
        <v>12</v>
      </c>
      <c r="F664" s="105">
        <v>2141.4189100000003</v>
      </c>
      <c r="G664" s="105">
        <v>0</v>
      </c>
      <c r="H664" s="105">
        <v>2141.4189100000003</v>
      </c>
      <c r="I664" s="105">
        <v>0</v>
      </c>
      <c r="J664" s="105">
        <v>0</v>
      </c>
      <c r="K664" s="148" t="s">
        <v>72</v>
      </c>
    </row>
    <row r="665" spans="1:11" s="50" customFormat="1" ht="25.2" customHeight="1" x14ac:dyDescent="0.25">
      <c r="A665" s="104">
        <f t="shared" si="19"/>
        <v>474</v>
      </c>
      <c r="B665" s="212"/>
      <c r="C665" s="148" t="s">
        <v>737</v>
      </c>
      <c r="D665" s="148" t="s">
        <v>428</v>
      </c>
      <c r="E665" s="148" t="s">
        <v>12</v>
      </c>
      <c r="F665" s="105">
        <v>1784.3475100000001</v>
      </c>
      <c r="G665" s="105">
        <v>0</v>
      </c>
      <c r="H665" s="105">
        <v>1784.3475100000001</v>
      </c>
      <c r="I665" s="105">
        <v>0</v>
      </c>
      <c r="J665" s="105">
        <v>0</v>
      </c>
      <c r="K665" s="148" t="s">
        <v>72</v>
      </c>
    </row>
    <row r="666" spans="1:11" s="50" customFormat="1" ht="72.599999999999994" customHeight="1" x14ac:dyDescent="0.25">
      <c r="A666" s="104">
        <f t="shared" si="19"/>
        <v>475</v>
      </c>
      <c r="B666" s="212"/>
      <c r="C666" s="148" t="s">
        <v>738</v>
      </c>
      <c r="D666" s="148" t="s">
        <v>739</v>
      </c>
      <c r="E666" s="148" t="s">
        <v>12</v>
      </c>
      <c r="F666" s="105">
        <v>2442.6211600000001</v>
      </c>
      <c r="G666" s="105">
        <v>0</v>
      </c>
      <c r="H666" s="105">
        <v>1236.6402</v>
      </c>
      <c r="I666" s="105">
        <v>1205.9809599999999</v>
      </c>
      <c r="J666" s="105">
        <v>0</v>
      </c>
      <c r="K666" s="148" t="s">
        <v>72</v>
      </c>
    </row>
    <row r="667" spans="1:11" s="50" customFormat="1" ht="55.8" customHeight="1" x14ac:dyDescent="0.25">
      <c r="A667" s="104">
        <f t="shared" si="19"/>
        <v>476</v>
      </c>
      <c r="B667" s="212"/>
      <c r="C667" s="148" t="s">
        <v>740</v>
      </c>
      <c r="D667" s="148" t="s">
        <v>741</v>
      </c>
      <c r="E667" s="148" t="s">
        <v>12</v>
      </c>
      <c r="F667" s="105">
        <v>1561.9638</v>
      </c>
      <c r="G667" s="105">
        <v>0</v>
      </c>
      <c r="H667" s="105">
        <v>760.19657999999993</v>
      </c>
      <c r="I667" s="105">
        <v>801.76721999999995</v>
      </c>
      <c r="J667" s="105">
        <v>0</v>
      </c>
      <c r="K667" s="148" t="s">
        <v>72</v>
      </c>
    </row>
    <row r="668" spans="1:11" s="50" customFormat="1" ht="34.200000000000003" customHeight="1" x14ac:dyDescent="0.25">
      <c r="A668" s="104">
        <f t="shared" si="19"/>
        <v>477</v>
      </c>
      <c r="B668" s="212"/>
      <c r="C668" s="148" t="s">
        <v>742</v>
      </c>
      <c r="D668" s="148" t="s">
        <v>743</v>
      </c>
      <c r="E668" s="148" t="s">
        <v>12</v>
      </c>
      <c r="F668" s="105">
        <v>1218.7697000000001</v>
      </c>
      <c r="G668" s="105">
        <v>1218.7697000000001</v>
      </c>
      <c r="H668" s="105">
        <v>0</v>
      </c>
      <c r="I668" s="105">
        <v>0</v>
      </c>
      <c r="J668" s="105">
        <v>0</v>
      </c>
      <c r="K668" s="148" t="s">
        <v>72</v>
      </c>
    </row>
    <row r="669" spans="1:11" s="50" customFormat="1" ht="34.200000000000003" customHeight="1" x14ac:dyDescent="0.25">
      <c r="A669" s="104">
        <f t="shared" si="19"/>
        <v>478</v>
      </c>
      <c r="B669" s="212"/>
      <c r="C669" s="148" t="s">
        <v>744</v>
      </c>
      <c r="D669" s="148" t="s">
        <v>745</v>
      </c>
      <c r="E669" s="148" t="s">
        <v>12</v>
      </c>
      <c r="F669" s="105">
        <v>138.75</v>
      </c>
      <c r="G669" s="105">
        <v>138.75</v>
      </c>
      <c r="H669" s="105">
        <v>0</v>
      </c>
      <c r="I669" s="105">
        <v>0</v>
      </c>
      <c r="J669" s="105">
        <v>0</v>
      </c>
      <c r="K669" s="148" t="s">
        <v>72</v>
      </c>
    </row>
    <row r="670" spans="1:11" s="50" customFormat="1" ht="34.200000000000003" customHeight="1" x14ac:dyDescent="0.25">
      <c r="A670" s="104">
        <f t="shared" si="19"/>
        <v>479</v>
      </c>
      <c r="B670" s="212"/>
      <c r="C670" s="148" t="s">
        <v>746</v>
      </c>
      <c r="D670" s="148" t="s">
        <v>747</v>
      </c>
      <c r="E670" s="148" t="s">
        <v>12</v>
      </c>
      <c r="F670" s="105">
        <v>307.5</v>
      </c>
      <c r="G670" s="105">
        <v>307.5</v>
      </c>
      <c r="H670" s="105">
        <v>0</v>
      </c>
      <c r="I670" s="105">
        <v>0</v>
      </c>
      <c r="J670" s="105">
        <v>0</v>
      </c>
      <c r="K670" s="148" t="s">
        <v>72</v>
      </c>
    </row>
    <row r="671" spans="1:11" s="50" customFormat="1" ht="34.200000000000003" customHeight="1" x14ac:dyDescent="0.25">
      <c r="A671" s="104">
        <f t="shared" si="19"/>
        <v>480</v>
      </c>
      <c r="B671" s="212"/>
      <c r="C671" s="148" t="s">
        <v>748</v>
      </c>
      <c r="D671" s="148" t="s">
        <v>743</v>
      </c>
      <c r="E671" s="148" t="s">
        <v>12</v>
      </c>
      <c r="F671" s="105">
        <v>2327.9470000000001</v>
      </c>
      <c r="G671" s="105">
        <v>2327.9470000000001</v>
      </c>
      <c r="H671" s="105">
        <v>0</v>
      </c>
      <c r="I671" s="105">
        <v>0</v>
      </c>
      <c r="J671" s="105">
        <v>0</v>
      </c>
      <c r="K671" s="148" t="s">
        <v>72</v>
      </c>
    </row>
    <row r="672" spans="1:11" s="50" customFormat="1" ht="34.200000000000003" customHeight="1" x14ac:dyDescent="0.25">
      <c r="A672" s="104">
        <f t="shared" si="19"/>
        <v>481</v>
      </c>
      <c r="B672" s="212"/>
      <c r="C672" s="148" t="s">
        <v>749</v>
      </c>
      <c r="D672" s="148" t="s">
        <v>750</v>
      </c>
      <c r="E672" s="148" t="s">
        <v>12</v>
      </c>
      <c r="F672" s="105">
        <v>933.29600000000005</v>
      </c>
      <c r="G672" s="105">
        <v>933.29600000000005</v>
      </c>
      <c r="H672" s="105">
        <v>0</v>
      </c>
      <c r="I672" s="105">
        <v>0</v>
      </c>
      <c r="J672" s="105">
        <v>0</v>
      </c>
      <c r="K672" s="148" t="s">
        <v>72</v>
      </c>
    </row>
    <row r="673" spans="1:11" s="50" customFormat="1" ht="34.200000000000003" customHeight="1" x14ac:dyDescent="0.25">
      <c r="A673" s="104">
        <f t="shared" si="19"/>
        <v>482</v>
      </c>
      <c r="B673" s="212"/>
      <c r="C673" s="148" t="s">
        <v>751</v>
      </c>
      <c r="D673" s="148" t="s">
        <v>752</v>
      </c>
      <c r="E673" s="148" t="s">
        <v>12</v>
      </c>
      <c r="F673" s="105">
        <v>1537.6</v>
      </c>
      <c r="G673" s="105">
        <v>1537.6</v>
      </c>
      <c r="H673" s="105">
        <v>0</v>
      </c>
      <c r="I673" s="105">
        <v>0</v>
      </c>
      <c r="J673" s="105">
        <v>0</v>
      </c>
      <c r="K673" s="148" t="s">
        <v>72</v>
      </c>
    </row>
    <row r="674" spans="1:11" s="50" customFormat="1" ht="34.200000000000003" customHeight="1" x14ac:dyDescent="0.25">
      <c r="A674" s="104">
        <f t="shared" si="19"/>
        <v>483</v>
      </c>
      <c r="B674" s="212"/>
      <c r="C674" s="148" t="s">
        <v>753</v>
      </c>
      <c r="D674" s="148" t="s">
        <v>394</v>
      </c>
      <c r="E674" s="148" t="s">
        <v>12</v>
      </c>
      <c r="F674" s="105">
        <v>2108.7800000000002</v>
      </c>
      <c r="G674" s="105">
        <v>2108.7800000000002</v>
      </c>
      <c r="H674" s="105">
        <v>0</v>
      </c>
      <c r="I674" s="105">
        <v>0</v>
      </c>
      <c r="J674" s="105">
        <v>0</v>
      </c>
      <c r="K674" s="148" t="s">
        <v>72</v>
      </c>
    </row>
    <row r="675" spans="1:11" s="50" customFormat="1" ht="34.200000000000003" customHeight="1" x14ac:dyDescent="0.25">
      <c r="A675" s="104">
        <f t="shared" si="19"/>
        <v>484</v>
      </c>
      <c r="B675" s="212"/>
      <c r="C675" s="148" t="s">
        <v>754</v>
      </c>
      <c r="D675" s="148" t="s">
        <v>755</v>
      </c>
      <c r="E675" s="148" t="s">
        <v>12</v>
      </c>
      <c r="F675" s="105">
        <v>1171.3499999999999</v>
      </c>
      <c r="G675" s="105">
        <v>1171.3499999999999</v>
      </c>
      <c r="H675" s="105">
        <v>0</v>
      </c>
      <c r="I675" s="105">
        <v>0</v>
      </c>
      <c r="J675" s="105">
        <v>0</v>
      </c>
      <c r="K675" s="148" t="s">
        <v>72</v>
      </c>
    </row>
    <row r="676" spans="1:11" s="50" customFormat="1" ht="60" customHeight="1" x14ac:dyDescent="0.25">
      <c r="A676" s="104">
        <f t="shared" si="19"/>
        <v>485</v>
      </c>
      <c r="B676" s="212"/>
      <c r="C676" s="148" t="s">
        <v>756</v>
      </c>
      <c r="D676" s="148" t="s">
        <v>93</v>
      </c>
      <c r="E676" s="148" t="s">
        <v>12</v>
      </c>
      <c r="F676" s="105">
        <v>2141.4189100000003</v>
      </c>
      <c r="G676" s="105">
        <v>0</v>
      </c>
      <c r="H676" s="105">
        <v>0</v>
      </c>
      <c r="I676" s="105">
        <v>2141.4189100000003</v>
      </c>
      <c r="J676" s="105">
        <v>0</v>
      </c>
      <c r="K676" s="148" t="s">
        <v>614</v>
      </c>
    </row>
    <row r="677" spans="1:11" s="50" customFormat="1" ht="34.200000000000003" customHeight="1" x14ac:dyDescent="0.25">
      <c r="A677" s="104">
        <f t="shared" si="19"/>
        <v>486</v>
      </c>
      <c r="B677" s="212"/>
      <c r="C677" s="148" t="s">
        <v>757</v>
      </c>
      <c r="D677" s="148" t="s">
        <v>743</v>
      </c>
      <c r="E677" s="148" t="s">
        <v>12</v>
      </c>
      <c r="F677" s="105">
        <v>1784.3475100000001</v>
      </c>
      <c r="G677" s="105">
        <v>0</v>
      </c>
      <c r="H677" s="105">
        <v>0</v>
      </c>
      <c r="I677" s="105">
        <v>1784.3475100000001</v>
      </c>
      <c r="J677" s="105">
        <v>0</v>
      </c>
      <c r="K677" s="148" t="s">
        <v>614</v>
      </c>
    </row>
    <row r="678" spans="1:11" s="47" customFormat="1" ht="15.6" customHeight="1" x14ac:dyDescent="0.3">
      <c r="A678" s="213" t="s">
        <v>57</v>
      </c>
      <c r="B678" s="213"/>
      <c r="C678" s="213"/>
      <c r="D678" s="213"/>
      <c r="E678" s="147"/>
      <c r="F678" s="106"/>
      <c r="G678" s="107">
        <f>SUM(G660:G677)</f>
        <v>20298.450699999998</v>
      </c>
      <c r="H678" s="107"/>
      <c r="I678" s="107"/>
      <c r="J678" s="107"/>
      <c r="K678" s="147"/>
    </row>
    <row r="679" spans="1:11" s="49" customFormat="1" ht="15" customHeight="1" x14ac:dyDescent="0.3">
      <c r="A679" s="214" t="s">
        <v>62</v>
      </c>
      <c r="B679" s="215"/>
      <c r="C679" s="215"/>
      <c r="D679" s="215"/>
      <c r="E679" s="147"/>
      <c r="F679" s="106"/>
      <c r="G679" s="106"/>
      <c r="H679" s="107">
        <f>SUM(H660:H677)</f>
        <v>14492.4732</v>
      </c>
      <c r="I679" s="107"/>
      <c r="J679" s="107"/>
      <c r="K679" s="147"/>
    </row>
    <row r="680" spans="1:11" s="49" customFormat="1" ht="15" customHeight="1" x14ac:dyDescent="0.3">
      <c r="A680" s="214" t="s">
        <v>19</v>
      </c>
      <c r="B680" s="215"/>
      <c r="C680" s="215"/>
      <c r="D680" s="215"/>
      <c r="E680" s="147"/>
      <c r="F680" s="106"/>
      <c r="G680" s="106"/>
      <c r="H680" s="107"/>
      <c r="I680" s="107">
        <f>SUM(I660:I677)</f>
        <v>14503.384599999999</v>
      </c>
      <c r="J680" s="107"/>
      <c r="K680" s="147"/>
    </row>
    <row r="681" spans="1:11" s="46" customFormat="1" ht="40.799999999999997" customHeight="1" x14ac:dyDescent="0.3">
      <c r="A681" s="104">
        <v>487</v>
      </c>
      <c r="B681" s="209" t="s">
        <v>758</v>
      </c>
      <c r="C681" s="148" t="s">
        <v>759</v>
      </c>
      <c r="D681" s="148" t="s">
        <v>394</v>
      </c>
      <c r="E681" s="146" t="s">
        <v>12</v>
      </c>
      <c r="F681" s="105">
        <v>14835.906550000002</v>
      </c>
      <c r="G681" s="105">
        <v>14835.906550000002</v>
      </c>
      <c r="H681" s="105">
        <v>0</v>
      </c>
      <c r="I681" s="105">
        <v>0</v>
      </c>
      <c r="J681" s="105">
        <v>0</v>
      </c>
      <c r="K681" s="148" t="s">
        <v>72</v>
      </c>
    </row>
    <row r="682" spans="1:11" s="46" customFormat="1" ht="40.799999999999997" customHeight="1" x14ac:dyDescent="0.3">
      <c r="A682" s="104">
        <f>A681+1</f>
        <v>488</v>
      </c>
      <c r="B682" s="209"/>
      <c r="C682" s="148" t="s">
        <v>760</v>
      </c>
      <c r="D682" s="148" t="s">
        <v>286</v>
      </c>
      <c r="E682" s="146" t="s">
        <v>12</v>
      </c>
      <c r="F682" s="105">
        <v>5056</v>
      </c>
      <c r="G682" s="105">
        <v>5056</v>
      </c>
      <c r="H682" s="105">
        <v>0</v>
      </c>
      <c r="I682" s="105">
        <v>0</v>
      </c>
      <c r="J682" s="105">
        <v>0</v>
      </c>
      <c r="K682" s="148" t="s">
        <v>72</v>
      </c>
    </row>
    <row r="683" spans="1:11" s="46" customFormat="1" ht="40.799999999999997" customHeight="1" x14ac:dyDescent="0.3">
      <c r="A683" s="104">
        <f t="shared" ref="A683:A697" si="20">A682+1</f>
        <v>489</v>
      </c>
      <c r="B683" s="209"/>
      <c r="C683" s="148" t="s">
        <v>761</v>
      </c>
      <c r="D683" s="148" t="s">
        <v>630</v>
      </c>
      <c r="E683" s="146" t="s">
        <v>12</v>
      </c>
      <c r="F683" s="105">
        <v>1628.82</v>
      </c>
      <c r="G683" s="105">
        <v>1628.82</v>
      </c>
      <c r="H683" s="105">
        <v>0</v>
      </c>
      <c r="I683" s="105">
        <v>0</v>
      </c>
      <c r="J683" s="105">
        <v>0</v>
      </c>
      <c r="K683" s="148" t="s">
        <v>72</v>
      </c>
    </row>
    <row r="684" spans="1:11" s="46" customFormat="1" ht="40.799999999999997" customHeight="1" x14ac:dyDescent="0.3">
      <c r="A684" s="104">
        <f t="shared" si="20"/>
        <v>490</v>
      </c>
      <c r="B684" s="209"/>
      <c r="C684" s="148" t="s">
        <v>762</v>
      </c>
      <c r="D684" s="148" t="s">
        <v>630</v>
      </c>
      <c r="E684" s="146" t="s">
        <v>12</v>
      </c>
      <c r="F684" s="105">
        <v>750</v>
      </c>
      <c r="G684" s="105">
        <v>750</v>
      </c>
      <c r="H684" s="105">
        <v>0</v>
      </c>
      <c r="I684" s="105">
        <v>0</v>
      </c>
      <c r="J684" s="105">
        <v>0</v>
      </c>
      <c r="K684" s="148" t="s">
        <v>72</v>
      </c>
    </row>
    <row r="685" spans="1:11" s="46" customFormat="1" ht="40.799999999999997" customHeight="1" x14ac:dyDescent="0.3">
      <c r="A685" s="104">
        <f t="shared" si="20"/>
        <v>491</v>
      </c>
      <c r="B685" s="209"/>
      <c r="C685" s="148" t="s">
        <v>763</v>
      </c>
      <c r="D685" s="148" t="s">
        <v>369</v>
      </c>
      <c r="E685" s="146" t="s">
        <v>12</v>
      </c>
      <c r="F685" s="105">
        <v>5396.38</v>
      </c>
      <c r="G685" s="105">
        <v>5396.38</v>
      </c>
      <c r="H685" s="105">
        <v>0</v>
      </c>
      <c r="I685" s="105">
        <v>0</v>
      </c>
      <c r="J685" s="105">
        <v>0</v>
      </c>
      <c r="K685" s="148" t="s">
        <v>72</v>
      </c>
    </row>
    <row r="686" spans="1:11" s="46" customFormat="1" ht="31.8" customHeight="1" x14ac:dyDescent="0.3">
      <c r="A686" s="104">
        <f t="shared" si="20"/>
        <v>492</v>
      </c>
      <c r="B686" s="209"/>
      <c r="C686" s="148" t="s">
        <v>764</v>
      </c>
      <c r="D686" s="148" t="s">
        <v>369</v>
      </c>
      <c r="E686" s="146" t="s">
        <v>12</v>
      </c>
      <c r="F686" s="105">
        <v>6182.1620000000003</v>
      </c>
      <c r="G686" s="105">
        <v>6182.1620000000003</v>
      </c>
      <c r="H686" s="105">
        <v>0</v>
      </c>
      <c r="I686" s="105">
        <v>0</v>
      </c>
      <c r="J686" s="105">
        <v>0</v>
      </c>
      <c r="K686" s="148" t="s">
        <v>72</v>
      </c>
    </row>
    <row r="687" spans="1:11" s="46" customFormat="1" ht="31.8" customHeight="1" x14ac:dyDescent="0.3">
      <c r="A687" s="104">
        <f t="shared" si="20"/>
        <v>493</v>
      </c>
      <c r="B687" s="209"/>
      <c r="C687" s="148" t="s">
        <v>765</v>
      </c>
      <c r="D687" s="148" t="s">
        <v>323</v>
      </c>
      <c r="E687" s="146" t="s">
        <v>12</v>
      </c>
      <c r="F687" s="105">
        <v>5091.12</v>
      </c>
      <c r="G687" s="105">
        <v>5091.12</v>
      </c>
      <c r="H687" s="105">
        <v>0</v>
      </c>
      <c r="I687" s="105">
        <v>0</v>
      </c>
      <c r="J687" s="105">
        <v>0</v>
      </c>
      <c r="K687" s="148" t="s">
        <v>72</v>
      </c>
    </row>
    <row r="688" spans="1:11" s="46" customFormat="1" ht="31.8" customHeight="1" x14ac:dyDescent="0.3">
      <c r="A688" s="104">
        <f t="shared" si="20"/>
        <v>494</v>
      </c>
      <c r="B688" s="209"/>
      <c r="C688" s="148" t="s">
        <v>766</v>
      </c>
      <c r="D688" s="148" t="s">
        <v>323</v>
      </c>
      <c r="E688" s="146" t="s">
        <v>12</v>
      </c>
      <c r="F688" s="105">
        <v>6353.1949999999997</v>
      </c>
      <c r="G688" s="105">
        <v>6353.1949999999997</v>
      </c>
      <c r="H688" s="105">
        <v>0</v>
      </c>
      <c r="I688" s="105">
        <v>0</v>
      </c>
      <c r="J688" s="105">
        <v>0</v>
      </c>
      <c r="K688" s="148" t="s">
        <v>72</v>
      </c>
    </row>
    <row r="689" spans="1:11" s="46" customFormat="1" ht="31.8" customHeight="1" x14ac:dyDescent="0.3">
      <c r="A689" s="104">
        <f t="shared" si="20"/>
        <v>495</v>
      </c>
      <c r="B689" s="209"/>
      <c r="C689" s="148" t="s">
        <v>767</v>
      </c>
      <c r="D689" s="148" t="s">
        <v>298</v>
      </c>
      <c r="E689" s="146" t="s">
        <v>12</v>
      </c>
      <c r="F689" s="105">
        <v>4809.2</v>
      </c>
      <c r="G689" s="105">
        <v>4809.2</v>
      </c>
      <c r="H689" s="105">
        <v>0</v>
      </c>
      <c r="I689" s="105">
        <v>0</v>
      </c>
      <c r="J689" s="105">
        <v>0</v>
      </c>
      <c r="K689" s="148" t="s">
        <v>72</v>
      </c>
    </row>
    <row r="690" spans="1:11" s="46" customFormat="1" ht="31.8" customHeight="1" x14ac:dyDescent="0.3">
      <c r="A690" s="104">
        <f t="shared" si="20"/>
        <v>496</v>
      </c>
      <c r="B690" s="209"/>
      <c r="C690" s="148" t="s">
        <v>768</v>
      </c>
      <c r="D690" s="148" t="s">
        <v>394</v>
      </c>
      <c r="E690" s="146" t="s">
        <v>12</v>
      </c>
      <c r="F690" s="105">
        <v>14835.906550000002</v>
      </c>
      <c r="G690" s="105">
        <v>0</v>
      </c>
      <c r="H690" s="105">
        <v>14835.906550000002</v>
      </c>
      <c r="I690" s="105">
        <v>0</v>
      </c>
      <c r="J690" s="105">
        <v>0</v>
      </c>
      <c r="K690" s="148" t="s">
        <v>282</v>
      </c>
    </row>
    <row r="691" spans="1:11" s="46" customFormat="1" ht="31.8" customHeight="1" x14ac:dyDescent="0.3">
      <c r="A691" s="104">
        <f t="shared" si="20"/>
        <v>497</v>
      </c>
      <c r="B691" s="209"/>
      <c r="C691" s="148" t="s">
        <v>769</v>
      </c>
      <c r="D691" s="148" t="s">
        <v>235</v>
      </c>
      <c r="E691" s="146" t="s">
        <v>12</v>
      </c>
      <c r="F691" s="105">
        <v>1903.8</v>
      </c>
      <c r="G691" s="105">
        <v>0</v>
      </c>
      <c r="H691" s="105">
        <v>1903.8</v>
      </c>
      <c r="I691" s="105">
        <v>0</v>
      </c>
      <c r="J691" s="105">
        <v>0</v>
      </c>
      <c r="K691" s="148" t="s">
        <v>282</v>
      </c>
    </row>
    <row r="692" spans="1:11" s="46" customFormat="1" ht="31.8" customHeight="1" x14ac:dyDescent="0.3">
      <c r="A692" s="104">
        <f t="shared" si="20"/>
        <v>498</v>
      </c>
      <c r="B692" s="209"/>
      <c r="C692" s="148" t="s">
        <v>770</v>
      </c>
      <c r="D692" s="148" t="s">
        <v>286</v>
      </c>
      <c r="E692" s="146" t="s">
        <v>12</v>
      </c>
      <c r="F692" s="105">
        <v>9965.2710000000006</v>
      </c>
      <c r="G692" s="105">
        <v>0</v>
      </c>
      <c r="H692" s="105">
        <v>9965.2710000000006</v>
      </c>
      <c r="I692" s="105">
        <v>0</v>
      </c>
      <c r="J692" s="105">
        <v>0</v>
      </c>
      <c r="K692" s="148" t="s">
        <v>316</v>
      </c>
    </row>
    <row r="693" spans="1:11" s="46" customFormat="1" ht="31.8" customHeight="1" x14ac:dyDescent="0.3">
      <c r="A693" s="104">
        <f t="shared" si="20"/>
        <v>499</v>
      </c>
      <c r="B693" s="209"/>
      <c r="C693" s="148" t="s">
        <v>771</v>
      </c>
      <c r="D693" s="148" t="s">
        <v>243</v>
      </c>
      <c r="E693" s="146" t="s">
        <v>12</v>
      </c>
      <c r="F693" s="105">
        <v>13721.831</v>
      </c>
      <c r="G693" s="105">
        <v>0</v>
      </c>
      <c r="H693" s="105">
        <v>13721.831</v>
      </c>
      <c r="I693" s="105">
        <v>0</v>
      </c>
      <c r="J693" s="105">
        <v>0</v>
      </c>
      <c r="K693" s="148" t="s">
        <v>316</v>
      </c>
    </row>
    <row r="694" spans="1:11" s="46" customFormat="1" ht="31.8" customHeight="1" x14ac:dyDescent="0.3">
      <c r="A694" s="104">
        <f t="shared" si="20"/>
        <v>500</v>
      </c>
      <c r="B694" s="209"/>
      <c r="C694" s="148" t="s">
        <v>772</v>
      </c>
      <c r="D694" s="148" t="s">
        <v>286</v>
      </c>
      <c r="E694" s="146" t="s">
        <v>12</v>
      </c>
      <c r="F694" s="105">
        <v>9965.2710000000006</v>
      </c>
      <c r="G694" s="105">
        <v>0</v>
      </c>
      <c r="H694" s="105">
        <v>0</v>
      </c>
      <c r="I694" s="105">
        <v>9965.2710000000006</v>
      </c>
      <c r="J694" s="105">
        <v>0</v>
      </c>
      <c r="K694" s="148" t="s">
        <v>318</v>
      </c>
    </row>
    <row r="695" spans="1:11" s="46" customFormat="1" ht="31.8" customHeight="1" x14ac:dyDescent="0.3">
      <c r="A695" s="104">
        <f t="shared" si="20"/>
        <v>501</v>
      </c>
      <c r="B695" s="209"/>
      <c r="C695" s="148" t="s">
        <v>773</v>
      </c>
      <c r="D695" s="148" t="s">
        <v>243</v>
      </c>
      <c r="E695" s="146" t="s">
        <v>12</v>
      </c>
      <c r="F695" s="105">
        <v>14721.831</v>
      </c>
      <c r="G695" s="105">
        <v>0</v>
      </c>
      <c r="H695" s="105">
        <v>0</v>
      </c>
      <c r="I695" s="105">
        <v>14721.831</v>
      </c>
      <c r="J695" s="105">
        <v>0</v>
      </c>
      <c r="K695" s="148" t="s">
        <v>359</v>
      </c>
    </row>
    <row r="696" spans="1:11" s="46" customFormat="1" ht="31.8" customHeight="1" x14ac:dyDescent="0.3">
      <c r="A696" s="104">
        <f t="shared" si="20"/>
        <v>502</v>
      </c>
      <c r="B696" s="209"/>
      <c r="C696" s="148" t="s">
        <v>774</v>
      </c>
      <c r="D696" s="148" t="s">
        <v>235</v>
      </c>
      <c r="E696" s="146" t="s">
        <v>12</v>
      </c>
      <c r="F696" s="105">
        <v>1903.8</v>
      </c>
      <c r="G696" s="105">
        <v>0</v>
      </c>
      <c r="H696" s="105">
        <v>0</v>
      </c>
      <c r="I696" s="105">
        <v>1903.8</v>
      </c>
      <c r="J696" s="105">
        <v>0</v>
      </c>
      <c r="K696" s="148" t="s">
        <v>359</v>
      </c>
    </row>
    <row r="697" spans="1:11" s="46" customFormat="1" ht="31.8" customHeight="1" x14ac:dyDescent="0.3">
      <c r="A697" s="104">
        <f t="shared" si="20"/>
        <v>503</v>
      </c>
      <c r="B697" s="209"/>
      <c r="C697" s="148" t="s">
        <v>775</v>
      </c>
      <c r="D697" s="148" t="s">
        <v>394</v>
      </c>
      <c r="E697" s="146" t="s">
        <v>12</v>
      </c>
      <c r="F697" s="105">
        <v>14835.906550000002</v>
      </c>
      <c r="G697" s="105">
        <v>0</v>
      </c>
      <c r="H697" s="105">
        <v>0</v>
      </c>
      <c r="I697" s="105">
        <v>14835.906550000002</v>
      </c>
      <c r="J697" s="105">
        <v>0</v>
      </c>
      <c r="K697" s="148" t="s">
        <v>318</v>
      </c>
    </row>
    <row r="698" spans="1:11" s="47" customFormat="1" ht="15.6" customHeight="1" x14ac:dyDescent="0.3">
      <c r="A698" s="213" t="s">
        <v>57</v>
      </c>
      <c r="B698" s="213"/>
      <c r="C698" s="213"/>
      <c r="D698" s="213"/>
      <c r="E698" s="147"/>
      <c r="F698" s="106"/>
      <c r="G698" s="107">
        <f>SUM(G681:G697)</f>
        <v>50102.78355</v>
      </c>
      <c r="H698" s="107"/>
      <c r="I698" s="107"/>
      <c r="J698" s="107"/>
      <c r="K698" s="147"/>
    </row>
    <row r="699" spans="1:11" s="49" customFormat="1" ht="18.600000000000001" customHeight="1" x14ac:dyDescent="0.3">
      <c r="A699" s="214" t="s">
        <v>62</v>
      </c>
      <c r="B699" s="215"/>
      <c r="C699" s="215"/>
      <c r="D699" s="215"/>
      <c r="E699" s="147"/>
      <c r="F699" s="106"/>
      <c r="G699" s="106"/>
      <c r="H699" s="107">
        <f>SUM(H681:H697)</f>
        <v>40426.808550000002</v>
      </c>
      <c r="I699" s="107"/>
      <c r="J699" s="107"/>
      <c r="K699" s="147"/>
    </row>
    <row r="700" spans="1:11" s="49" customFormat="1" ht="18" customHeight="1" x14ac:dyDescent="0.3">
      <c r="A700" s="214" t="s">
        <v>19</v>
      </c>
      <c r="B700" s="215"/>
      <c r="C700" s="215"/>
      <c r="D700" s="215"/>
      <c r="E700" s="147"/>
      <c r="F700" s="106"/>
      <c r="G700" s="106"/>
      <c r="H700" s="107"/>
      <c r="I700" s="107">
        <f>SUM(I681:I697)</f>
        <v>41426.808550000002</v>
      </c>
      <c r="J700" s="107"/>
      <c r="K700" s="147"/>
    </row>
    <row r="701" spans="1:11" s="50" customFormat="1" ht="29.4" customHeight="1" x14ac:dyDescent="0.25">
      <c r="A701" s="104">
        <v>504</v>
      </c>
      <c r="B701" s="212" t="s">
        <v>776</v>
      </c>
      <c r="C701" s="148" t="s">
        <v>777</v>
      </c>
      <c r="D701" s="148" t="s">
        <v>778</v>
      </c>
      <c r="E701" s="148" t="s">
        <v>12</v>
      </c>
      <c r="F701" s="105">
        <v>20666.814300000002</v>
      </c>
      <c r="G701" s="105">
        <v>20666.814300000002</v>
      </c>
      <c r="H701" s="105">
        <v>0</v>
      </c>
      <c r="I701" s="105">
        <v>0</v>
      </c>
      <c r="J701" s="105">
        <v>0</v>
      </c>
      <c r="K701" s="148" t="s">
        <v>76</v>
      </c>
    </row>
    <row r="702" spans="1:11" s="50" customFormat="1" ht="29.4" customHeight="1" x14ac:dyDescent="0.25">
      <c r="A702" s="104">
        <f>A701+1</f>
        <v>505</v>
      </c>
      <c r="B702" s="212"/>
      <c r="C702" s="148" t="s">
        <v>779</v>
      </c>
      <c r="D702" s="148" t="s">
        <v>286</v>
      </c>
      <c r="E702" s="148" t="s">
        <v>12</v>
      </c>
      <c r="F702" s="105">
        <v>787.48599999999999</v>
      </c>
      <c r="G702" s="105">
        <v>787.48599999999999</v>
      </c>
      <c r="H702" s="105">
        <v>0</v>
      </c>
      <c r="I702" s="105">
        <v>0</v>
      </c>
      <c r="J702" s="105">
        <v>0</v>
      </c>
      <c r="K702" s="148" t="s">
        <v>76</v>
      </c>
    </row>
    <row r="703" spans="1:11" s="50" customFormat="1" ht="64.8" customHeight="1" x14ac:dyDescent="0.25">
      <c r="A703" s="104">
        <f t="shared" ref="A703:A720" si="21">A702+1</f>
        <v>506</v>
      </c>
      <c r="B703" s="212"/>
      <c r="C703" s="148" t="s">
        <v>780</v>
      </c>
      <c r="D703" s="148" t="s">
        <v>93</v>
      </c>
      <c r="E703" s="148" t="s">
        <v>12</v>
      </c>
      <c r="F703" s="105">
        <v>1892</v>
      </c>
      <c r="G703" s="105">
        <v>1892</v>
      </c>
      <c r="H703" s="105">
        <v>0</v>
      </c>
      <c r="I703" s="105">
        <v>0</v>
      </c>
      <c r="J703" s="105">
        <v>0</v>
      </c>
      <c r="K703" s="148" t="s">
        <v>76</v>
      </c>
    </row>
    <row r="704" spans="1:11" s="50" customFormat="1" ht="29.4" customHeight="1" x14ac:dyDescent="0.25">
      <c r="A704" s="104">
        <f t="shared" si="21"/>
        <v>507</v>
      </c>
      <c r="B704" s="212"/>
      <c r="C704" s="148" t="s">
        <v>781</v>
      </c>
      <c r="D704" s="148" t="s">
        <v>91</v>
      </c>
      <c r="E704" s="148" t="s">
        <v>12</v>
      </c>
      <c r="F704" s="105">
        <v>999.89499999999998</v>
      </c>
      <c r="G704" s="105">
        <v>999.89499999999998</v>
      </c>
      <c r="H704" s="105">
        <v>0</v>
      </c>
      <c r="I704" s="105">
        <v>0</v>
      </c>
      <c r="J704" s="105">
        <v>0</v>
      </c>
      <c r="K704" s="148" t="s">
        <v>76</v>
      </c>
    </row>
    <row r="705" spans="1:11" s="50" customFormat="1" ht="29.4" customHeight="1" x14ac:dyDescent="0.25">
      <c r="A705" s="104">
        <f t="shared" si="21"/>
        <v>508</v>
      </c>
      <c r="B705" s="212"/>
      <c r="C705" s="148" t="s">
        <v>782</v>
      </c>
      <c r="D705" s="148" t="s">
        <v>286</v>
      </c>
      <c r="E705" s="148" t="s">
        <v>12</v>
      </c>
      <c r="F705" s="105">
        <v>2238.3000000000002</v>
      </c>
      <c r="G705" s="105">
        <v>2238.3000000000002</v>
      </c>
      <c r="H705" s="105">
        <v>0</v>
      </c>
      <c r="I705" s="105">
        <v>0</v>
      </c>
      <c r="J705" s="105">
        <v>0</v>
      </c>
      <c r="K705" s="148" t="s">
        <v>76</v>
      </c>
    </row>
    <row r="706" spans="1:11" s="50" customFormat="1" ht="29.4" customHeight="1" x14ac:dyDescent="0.25">
      <c r="A706" s="104">
        <f t="shared" si="21"/>
        <v>509</v>
      </c>
      <c r="B706" s="212"/>
      <c r="C706" s="148" t="s">
        <v>783</v>
      </c>
      <c r="D706" s="148" t="s">
        <v>286</v>
      </c>
      <c r="E706" s="148" t="s">
        <v>12</v>
      </c>
      <c r="F706" s="105">
        <v>1270</v>
      </c>
      <c r="G706" s="105">
        <v>1270</v>
      </c>
      <c r="H706" s="105">
        <v>0</v>
      </c>
      <c r="I706" s="105">
        <v>0</v>
      </c>
      <c r="J706" s="105">
        <v>0</v>
      </c>
      <c r="K706" s="148" t="s">
        <v>76</v>
      </c>
    </row>
    <row r="707" spans="1:11" s="50" customFormat="1" ht="29.4" customHeight="1" x14ac:dyDescent="0.25">
      <c r="A707" s="104">
        <f t="shared" si="21"/>
        <v>510</v>
      </c>
      <c r="B707" s="212"/>
      <c r="C707" s="148" t="s">
        <v>784</v>
      </c>
      <c r="D707" s="148" t="s">
        <v>286</v>
      </c>
      <c r="E707" s="148" t="s">
        <v>12</v>
      </c>
      <c r="F707" s="105">
        <v>1125</v>
      </c>
      <c r="G707" s="105">
        <v>1125</v>
      </c>
      <c r="H707" s="105">
        <v>0</v>
      </c>
      <c r="I707" s="105">
        <v>0</v>
      </c>
      <c r="J707" s="105">
        <v>0</v>
      </c>
      <c r="K707" s="148" t="s">
        <v>76</v>
      </c>
    </row>
    <row r="708" spans="1:11" s="50" customFormat="1" ht="29.4" customHeight="1" x14ac:dyDescent="0.25">
      <c r="A708" s="104">
        <f t="shared" si="21"/>
        <v>511</v>
      </c>
      <c r="B708" s="212"/>
      <c r="C708" s="148" t="s">
        <v>785</v>
      </c>
      <c r="D708" s="148" t="s">
        <v>786</v>
      </c>
      <c r="E708" s="148" t="s">
        <v>12</v>
      </c>
      <c r="F708" s="105">
        <v>2400</v>
      </c>
      <c r="G708" s="105">
        <v>2400</v>
      </c>
      <c r="H708" s="105">
        <v>0</v>
      </c>
      <c r="I708" s="105">
        <v>0</v>
      </c>
      <c r="J708" s="105">
        <v>0</v>
      </c>
      <c r="K708" s="148" t="s">
        <v>76</v>
      </c>
    </row>
    <row r="709" spans="1:11" s="50" customFormat="1" ht="48" customHeight="1" x14ac:dyDescent="0.25">
      <c r="A709" s="104">
        <f t="shared" si="21"/>
        <v>512</v>
      </c>
      <c r="B709" s="212"/>
      <c r="C709" s="148" t="s">
        <v>787</v>
      </c>
      <c r="D709" s="148" t="s">
        <v>788</v>
      </c>
      <c r="E709" s="148" t="s">
        <v>12</v>
      </c>
      <c r="F709" s="105">
        <v>15260.114</v>
      </c>
      <c r="G709" s="105">
        <v>15260.114</v>
      </c>
      <c r="H709" s="105">
        <v>0</v>
      </c>
      <c r="I709" s="105">
        <v>0</v>
      </c>
      <c r="J709" s="105">
        <v>0</v>
      </c>
      <c r="K709" s="148" t="s">
        <v>76</v>
      </c>
    </row>
    <row r="710" spans="1:11" s="50" customFormat="1" ht="36" customHeight="1" x14ac:dyDescent="0.25">
      <c r="A710" s="104">
        <f t="shared" si="21"/>
        <v>513</v>
      </c>
      <c r="B710" s="212"/>
      <c r="C710" s="148" t="s">
        <v>789</v>
      </c>
      <c r="D710" s="148" t="s">
        <v>790</v>
      </c>
      <c r="E710" s="148" t="s">
        <v>12</v>
      </c>
      <c r="F710" s="105">
        <v>4750</v>
      </c>
      <c r="G710" s="105">
        <v>4750</v>
      </c>
      <c r="H710" s="105">
        <v>2750</v>
      </c>
      <c r="I710" s="105">
        <v>0</v>
      </c>
      <c r="J710" s="105">
        <v>0</v>
      </c>
      <c r="K710" s="148" t="s">
        <v>76</v>
      </c>
    </row>
    <row r="711" spans="1:11" s="50" customFormat="1" ht="36" customHeight="1" x14ac:dyDescent="0.25">
      <c r="A711" s="104">
        <f t="shared" si="21"/>
        <v>514</v>
      </c>
      <c r="B711" s="212"/>
      <c r="C711" s="148" t="s">
        <v>791</v>
      </c>
      <c r="D711" s="148" t="s">
        <v>792</v>
      </c>
      <c r="E711" s="148" t="s">
        <v>12</v>
      </c>
      <c r="F711" s="105">
        <v>3360.75</v>
      </c>
      <c r="G711" s="105">
        <v>3360.75</v>
      </c>
      <c r="H711" s="105">
        <v>1860.75</v>
      </c>
      <c r="I711" s="105">
        <v>0</v>
      </c>
      <c r="J711" s="105">
        <v>0</v>
      </c>
      <c r="K711" s="148" t="s">
        <v>76</v>
      </c>
    </row>
    <row r="712" spans="1:11" s="50" customFormat="1" ht="36" customHeight="1" x14ac:dyDescent="0.25">
      <c r="A712" s="104">
        <f t="shared" si="21"/>
        <v>515</v>
      </c>
      <c r="B712" s="212"/>
      <c r="C712" s="148" t="s">
        <v>793</v>
      </c>
      <c r="D712" s="148" t="s">
        <v>323</v>
      </c>
      <c r="E712" s="148" t="s">
        <v>12</v>
      </c>
      <c r="F712" s="105">
        <v>5007.268</v>
      </c>
      <c r="G712" s="105">
        <v>5007.268</v>
      </c>
      <c r="H712" s="105">
        <v>0</v>
      </c>
      <c r="I712" s="105">
        <v>0</v>
      </c>
      <c r="J712" s="105">
        <v>0</v>
      </c>
      <c r="K712" s="148" t="s">
        <v>76</v>
      </c>
    </row>
    <row r="713" spans="1:11" s="50" customFormat="1" ht="36" customHeight="1" x14ac:dyDescent="0.25">
      <c r="A713" s="104">
        <f t="shared" si="21"/>
        <v>516</v>
      </c>
      <c r="B713" s="212"/>
      <c r="C713" s="148" t="s">
        <v>794</v>
      </c>
      <c r="D713" s="148" t="s">
        <v>778</v>
      </c>
      <c r="E713" s="148" t="s">
        <v>12</v>
      </c>
      <c r="F713" s="105">
        <v>1274</v>
      </c>
      <c r="G713" s="105">
        <v>1274</v>
      </c>
      <c r="H713" s="105">
        <v>0</v>
      </c>
      <c r="I713" s="105">
        <v>0</v>
      </c>
      <c r="J713" s="105">
        <v>0</v>
      </c>
      <c r="K713" s="148" t="s">
        <v>76</v>
      </c>
    </row>
    <row r="714" spans="1:11" s="50" customFormat="1" ht="83.4" customHeight="1" x14ac:dyDescent="0.25">
      <c r="A714" s="104">
        <f t="shared" si="21"/>
        <v>517</v>
      </c>
      <c r="B714" s="212"/>
      <c r="C714" s="148" t="s">
        <v>795</v>
      </c>
      <c r="D714" s="148" t="s">
        <v>796</v>
      </c>
      <c r="E714" s="148" t="s">
        <v>12</v>
      </c>
      <c r="F714" s="105">
        <v>1917.8879999999999</v>
      </c>
      <c r="G714" s="105">
        <v>1917.8879999999999</v>
      </c>
      <c r="H714" s="105">
        <v>0</v>
      </c>
      <c r="I714" s="105">
        <v>0</v>
      </c>
      <c r="J714" s="105">
        <v>0</v>
      </c>
      <c r="K714" s="148" t="s">
        <v>76</v>
      </c>
    </row>
    <row r="715" spans="1:11" s="50" customFormat="1" ht="37.799999999999997" customHeight="1" x14ac:dyDescent="0.25">
      <c r="A715" s="104">
        <f t="shared" si="21"/>
        <v>518</v>
      </c>
      <c r="B715" s="212"/>
      <c r="C715" s="148" t="s">
        <v>797</v>
      </c>
      <c r="D715" s="148" t="s">
        <v>778</v>
      </c>
      <c r="E715" s="148" t="s">
        <v>12</v>
      </c>
      <c r="F715" s="105">
        <v>15316.623079999999</v>
      </c>
      <c r="G715" s="105">
        <v>0</v>
      </c>
      <c r="H715" s="105">
        <v>15316.623079999999</v>
      </c>
      <c r="I715" s="105">
        <v>0</v>
      </c>
      <c r="J715" s="105">
        <v>0</v>
      </c>
      <c r="K715" s="148" t="s">
        <v>316</v>
      </c>
    </row>
    <row r="716" spans="1:11" s="50" customFormat="1" ht="37.799999999999997" customHeight="1" x14ac:dyDescent="0.25">
      <c r="A716" s="104">
        <f t="shared" si="21"/>
        <v>519</v>
      </c>
      <c r="B716" s="212"/>
      <c r="C716" s="148" t="s">
        <v>798</v>
      </c>
      <c r="D716" s="148" t="s">
        <v>286</v>
      </c>
      <c r="E716" s="148" t="s">
        <v>12</v>
      </c>
      <c r="F716" s="105">
        <v>7282.7070000000003</v>
      </c>
      <c r="G716" s="105">
        <v>0</v>
      </c>
      <c r="H716" s="105">
        <v>7282.7070000000003</v>
      </c>
      <c r="I716" s="105">
        <v>0</v>
      </c>
      <c r="J716" s="105">
        <v>0</v>
      </c>
      <c r="K716" s="148" t="s">
        <v>316</v>
      </c>
    </row>
    <row r="717" spans="1:11" s="50" customFormat="1" ht="37.799999999999997" customHeight="1" x14ac:dyDescent="0.25">
      <c r="A717" s="104">
        <f t="shared" si="21"/>
        <v>520</v>
      </c>
      <c r="B717" s="212"/>
      <c r="C717" s="148" t="s">
        <v>799</v>
      </c>
      <c r="D717" s="148" t="s">
        <v>800</v>
      </c>
      <c r="E717" s="148" t="s">
        <v>12</v>
      </c>
      <c r="F717" s="105">
        <v>500</v>
      </c>
      <c r="G717" s="105">
        <v>0</v>
      </c>
      <c r="H717" s="105">
        <v>500</v>
      </c>
      <c r="I717" s="105">
        <v>0</v>
      </c>
      <c r="J717" s="105">
        <v>0</v>
      </c>
      <c r="K717" s="148" t="s">
        <v>316</v>
      </c>
    </row>
    <row r="718" spans="1:11" s="50" customFormat="1" ht="37.799999999999997" customHeight="1" x14ac:dyDescent="0.25">
      <c r="A718" s="104">
        <f t="shared" si="21"/>
        <v>521</v>
      </c>
      <c r="B718" s="212"/>
      <c r="C718" s="148" t="s">
        <v>801</v>
      </c>
      <c r="D718" s="148" t="s">
        <v>778</v>
      </c>
      <c r="E718" s="148" t="s">
        <v>12</v>
      </c>
      <c r="F718" s="105">
        <v>15091.672269999999</v>
      </c>
      <c r="G718" s="105">
        <v>0</v>
      </c>
      <c r="H718" s="105">
        <v>0</v>
      </c>
      <c r="I718" s="105">
        <v>15091.672269999999</v>
      </c>
      <c r="J718" s="105">
        <v>0</v>
      </c>
      <c r="K718" s="148" t="s">
        <v>802</v>
      </c>
    </row>
    <row r="719" spans="1:11" s="50" customFormat="1" ht="37.799999999999997" customHeight="1" x14ac:dyDescent="0.25">
      <c r="A719" s="104">
        <f t="shared" si="21"/>
        <v>522</v>
      </c>
      <c r="B719" s="212"/>
      <c r="C719" s="148" t="s">
        <v>803</v>
      </c>
      <c r="D719" s="148" t="s">
        <v>286</v>
      </c>
      <c r="E719" s="148" t="s">
        <v>12</v>
      </c>
      <c r="F719" s="105">
        <v>7282.7070000000003</v>
      </c>
      <c r="G719" s="105">
        <v>0</v>
      </c>
      <c r="H719" s="105">
        <v>0</v>
      </c>
      <c r="I719" s="105">
        <v>7282.7070000000003</v>
      </c>
      <c r="J719" s="105">
        <v>0</v>
      </c>
      <c r="K719" s="148" t="s">
        <v>802</v>
      </c>
    </row>
    <row r="720" spans="1:11" s="50" customFormat="1" ht="37.799999999999997" customHeight="1" x14ac:dyDescent="0.25">
      <c r="A720" s="104">
        <f t="shared" si="21"/>
        <v>523</v>
      </c>
      <c r="B720" s="212"/>
      <c r="C720" s="148" t="s">
        <v>804</v>
      </c>
      <c r="D720" s="148" t="s">
        <v>805</v>
      </c>
      <c r="E720" s="148" t="s">
        <v>12</v>
      </c>
      <c r="F720" s="105">
        <v>500</v>
      </c>
      <c r="G720" s="105">
        <v>0</v>
      </c>
      <c r="H720" s="105">
        <v>0</v>
      </c>
      <c r="I720" s="105">
        <v>500</v>
      </c>
      <c r="J720" s="105">
        <v>0</v>
      </c>
      <c r="K720" s="148" t="s">
        <v>802</v>
      </c>
    </row>
    <row r="721" spans="1:11" s="47" customFormat="1" ht="15" customHeight="1" x14ac:dyDescent="0.3">
      <c r="A721" s="213" t="s">
        <v>57</v>
      </c>
      <c r="B721" s="213"/>
      <c r="C721" s="213"/>
      <c r="D721" s="213"/>
      <c r="E721" s="147"/>
      <c r="F721" s="106"/>
      <c r="G721" s="107">
        <f>SUM(G701:G720)</f>
        <v>62949.515300000006</v>
      </c>
      <c r="H721" s="107"/>
      <c r="I721" s="107"/>
      <c r="J721" s="107"/>
      <c r="K721" s="147"/>
    </row>
    <row r="722" spans="1:11" s="49" customFormat="1" ht="18.600000000000001" customHeight="1" x14ac:dyDescent="0.3">
      <c r="A722" s="214" t="s">
        <v>62</v>
      </c>
      <c r="B722" s="215"/>
      <c r="C722" s="215"/>
      <c r="D722" s="215"/>
      <c r="E722" s="147"/>
      <c r="F722" s="106"/>
      <c r="G722" s="106"/>
      <c r="H722" s="107">
        <f>SUM(H701:H720)</f>
        <v>27710.08008</v>
      </c>
      <c r="I722" s="107"/>
      <c r="J722" s="107"/>
      <c r="K722" s="147"/>
    </row>
    <row r="723" spans="1:11" s="49" customFormat="1" ht="18" customHeight="1" x14ac:dyDescent="0.3">
      <c r="A723" s="214" t="s">
        <v>19</v>
      </c>
      <c r="B723" s="215"/>
      <c r="C723" s="215"/>
      <c r="D723" s="215"/>
      <c r="E723" s="147"/>
      <c r="F723" s="106"/>
      <c r="G723" s="106"/>
      <c r="H723" s="107"/>
      <c r="I723" s="107">
        <f>SUM(I701:I720)</f>
        <v>22874.379269999998</v>
      </c>
      <c r="J723" s="107"/>
      <c r="K723" s="147"/>
    </row>
    <row r="724" spans="1:11" s="46" customFormat="1" ht="28.95" customHeight="1" x14ac:dyDescent="0.3">
      <c r="A724" s="104">
        <v>524</v>
      </c>
      <c r="B724" s="209" t="s">
        <v>806</v>
      </c>
      <c r="C724" s="148" t="s">
        <v>807</v>
      </c>
      <c r="D724" s="148" t="s">
        <v>581</v>
      </c>
      <c r="E724" s="146" t="s">
        <v>12</v>
      </c>
      <c r="F724" s="105">
        <v>2058.7754399999999</v>
      </c>
      <c r="G724" s="105">
        <v>2058.7754399999999</v>
      </c>
      <c r="H724" s="105">
        <v>0</v>
      </c>
      <c r="I724" s="105">
        <v>0</v>
      </c>
      <c r="J724" s="105">
        <v>0</v>
      </c>
      <c r="K724" s="148" t="s">
        <v>69</v>
      </c>
    </row>
    <row r="725" spans="1:11" s="46" customFormat="1" ht="51.6" customHeight="1" x14ac:dyDescent="0.3">
      <c r="A725" s="104">
        <f>A724+1</f>
        <v>525</v>
      </c>
      <c r="B725" s="209"/>
      <c r="C725" s="148" t="s">
        <v>808</v>
      </c>
      <c r="D725" s="148" t="s">
        <v>78</v>
      </c>
      <c r="E725" s="146" t="s">
        <v>12</v>
      </c>
      <c r="F725" s="105">
        <v>734.42039999999997</v>
      </c>
      <c r="G725" s="105">
        <v>734.42039999999997</v>
      </c>
      <c r="H725" s="105">
        <v>0</v>
      </c>
      <c r="I725" s="105">
        <v>0</v>
      </c>
      <c r="J725" s="105">
        <v>0</v>
      </c>
      <c r="K725" s="148" t="s">
        <v>72</v>
      </c>
    </row>
    <row r="726" spans="1:11" s="46" customFormat="1" ht="39.6" x14ac:dyDescent="0.3">
      <c r="A726" s="104">
        <f t="shared" ref="A726:A731" si="22">A725+1</f>
        <v>526</v>
      </c>
      <c r="B726" s="209"/>
      <c r="C726" s="148" t="s">
        <v>809</v>
      </c>
      <c r="D726" s="148" t="s">
        <v>810</v>
      </c>
      <c r="E726" s="146" t="s">
        <v>12</v>
      </c>
      <c r="F726" s="105">
        <v>1614.7236</v>
      </c>
      <c r="G726" s="105">
        <v>1614.7236</v>
      </c>
      <c r="H726" s="105">
        <v>0</v>
      </c>
      <c r="I726" s="105">
        <v>0</v>
      </c>
      <c r="J726" s="105">
        <v>0</v>
      </c>
      <c r="K726" s="148" t="s">
        <v>72</v>
      </c>
    </row>
    <row r="727" spans="1:11" s="46" customFormat="1" ht="49.8" customHeight="1" x14ac:dyDescent="0.3">
      <c r="A727" s="104">
        <f t="shared" si="22"/>
        <v>527</v>
      </c>
      <c r="B727" s="209"/>
      <c r="C727" s="148" t="s">
        <v>811</v>
      </c>
      <c r="D727" s="148" t="s">
        <v>812</v>
      </c>
      <c r="E727" s="146" t="s">
        <v>12</v>
      </c>
      <c r="F727" s="105">
        <v>1550.6592900000001</v>
      </c>
      <c r="G727" s="105">
        <v>1550.6592900000001</v>
      </c>
      <c r="H727" s="105">
        <v>0</v>
      </c>
      <c r="I727" s="105">
        <v>0</v>
      </c>
      <c r="J727" s="105">
        <v>0</v>
      </c>
      <c r="K727" s="148" t="s">
        <v>76</v>
      </c>
    </row>
    <row r="728" spans="1:11" s="46" customFormat="1" ht="49.8" customHeight="1" x14ac:dyDescent="0.3">
      <c r="A728" s="104">
        <f t="shared" si="22"/>
        <v>528</v>
      </c>
      <c r="B728" s="209"/>
      <c r="C728" s="148" t="s">
        <v>813</v>
      </c>
      <c r="D728" s="148" t="s">
        <v>323</v>
      </c>
      <c r="E728" s="146" t="s">
        <v>12</v>
      </c>
      <c r="F728" s="105">
        <v>1797.99</v>
      </c>
      <c r="G728" s="105">
        <v>1797.99</v>
      </c>
      <c r="H728" s="105">
        <v>0</v>
      </c>
      <c r="I728" s="105">
        <v>0</v>
      </c>
      <c r="J728" s="105">
        <v>0</v>
      </c>
      <c r="K728" s="148" t="s">
        <v>69</v>
      </c>
    </row>
    <row r="729" spans="1:11" s="46" customFormat="1" ht="49.8" customHeight="1" x14ac:dyDescent="0.3">
      <c r="A729" s="104">
        <f t="shared" si="22"/>
        <v>529</v>
      </c>
      <c r="B729" s="209"/>
      <c r="C729" s="148" t="s">
        <v>814</v>
      </c>
      <c r="D729" s="148" t="s">
        <v>576</v>
      </c>
      <c r="E729" s="146" t="s">
        <v>12</v>
      </c>
      <c r="F729" s="105">
        <v>1066.6956200000002</v>
      </c>
      <c r="G729" s="105">
        <v>1066.6956200000002</v>
      </c>
      <c r="H729" s="105">
        <v>0</v>
      </c>
      <c r="I729" s="105">
        <v>0</v>
      </c>
      <c r="J729" s="105">
        <v>0</v>
      </c>
      <c r="K729" s="148" t="s">
        <v>69</v>
      </c>
    </row>
    <row r="730" spans="1:11" s="46" customFormat="1" ht="49.8" customHeight="1" x14ac:dyDescent="0.3">
      <c r="A730" s="104">
        <f t="shared" si="22"/>
        <v>530</v>
      </c>
      <c r="B730" s="209"/>
      <c r="C730" s="148" t="s">
        <v>815</v>
      </c>
      <c r="D730" s="148" t="s">
        <v>581</v>
      </c>
      <c r="E730" s="146" t="s">
        <v>12</v>
      </c>
      <c r="F730" s="105">
        <v>2058.7754399999999</v>
      </c>
      <c r="G730" s="105">
        <v>0</v>
      </c>
      <c r="H730" s="105">
        <v>2058.7754399999999</v>
      </c>
      <c r="I730" s="105">
        <v>0</v>
      </c>
      <c r="J730" s="105">
        <v>0</v>
      </c>
      <c r="K730" s="148" t="s">
        <v>282</v>
      </c>
    </row>
    <row r="731" spans="1:11" s="46" customFormat="1" ht="49.8" customHeight="1" x14ac:dyDescent="0.3">
      <c r="A731" s="104">
        <f t="shared" si="22"/>
        <v>531</v>
      </c>
      <c r="B731" s="209"/>
      <c r="C731" s="148" t="s">
        <v>816</v>
      </c>
      <c r="D731" s="148" t="s">
        <v>817</v>
      </c>
      <c r="E731" s="146" t="s">
        <v>12</v>
      </c>
      <c r="F731" s="105">
        <v>2058.7754399999999</v>
      </c>
      <c r="G731" s="105">
        <v>0</v>
      </c>
      <c r="H731" s="105">
        <v>0</v>
      </c>
      <c r="I731" s="105">
        <v>2058.7754399999999</v>
      </c>
      <c r="J731" s="105">
        <v>0</v>
      </c>
      <c r="K731" s="148" t="s">
        <v>318</v>
      </c>
    </row>
    <row r="732" spans="1:11" s="47" customFormat="1" ht="16.95" customHeight="1" x14ac:dyDescent="0.3">
      <c r="A732" s="213" t="s">
        <v>57</v>
      </c>
      <c r="B732" s="213"/>
      <c r="C732" s="213"/>
      <c r="D732" s="213"/>
      <c r="E732" s="147"/>
      <c r="F732" s="106"/>
      <c r="G732" s="107">
        <f>SUM(G724:G731)</f>
        <v>8823.2643499999995</v>
      </c>
      <c r="H732" s="107"/>
      <c r="I732" s="107"/>
      <c r="J732" s="107"/>
      <c r="K732" s="147"/>
    </row>
    <row r="733" spans="1:11" s="49" customFormat="1" ht="17.399999999999999" customHeight="1" x14ac:dyDescent="0.3">
      <c r="A733" s="214" t="s">
        <v>62</v>
      </c>
      <c r="B733" s="215"/>
      <c r="C733" s="215"/>
      <c r="D733" s="215"/>
      <c r="E733" s="147"/>
      <c r="F733" s="106"/>
      <c r="G733" s="106"/>
      <c r="H733" s="107">
        <f>SUM(H724:H731)</f>
        <v>2058.7754399999999</v>
      </c>
      <c r="I733" s="107"/>
      <c r="J733" s="107"/>
      <c r="K733" s="147"/>
    </row>
    <row r="734" spans="1:11" s="49" customFormat="1" ht="16.2" customHeight="1" x14ac:dyDescent="0.3">
      <c r="A734" s="214" t="s">
        <v>19</v>
      </c>
      <c r="B734" s="215"/>
      <c r="C734" s="215"/>
      <c r="D734" s="215"/>
      <c r="E734" s="147"/>
      <c r="F734" s="106"/>
      <c r="G734" s="106"/>
      <c r="H734" s="107"/>
      <c r="I734" s="107">
        <f>SUM(I724:I731)</f>
        <v>2058.7754399999999</v>
      </c>
      <c r="J734" s="107"/>
      <c r="K734" s="147"/>
    </row>
    <row r="735" spans="1:11" s="46" customFormat="1" ht="30" customHeight="1" x14ac:dyDescent="0.3">
      <c r="A735" s="104">
        <v>532</v>
      </c>
      <c r="B735" s="209" t="s">
        <v>818</v>
      </c>
      <c r="C735" s="148" t="s">
        <v>819</v>
      </c>
      <c r="D735" s="148" t="s">
        <v>49</v>
      </c>
      <c r="E735" s="146" t="s">
        <v>12</v>
      </c>
      <c r="F735" s="105">
        <v>1566.8344999999999</v>
      </c>
      <c r="G735" s="105">
        <v>0</v>
      </c>
      <c r="H735" s="105">
        <v>1435.9745</v>
      </c>
      <c r="I735" s="105">
        <v>130.86000000000001</v>
      </c>
      <c r="J735" s="105">
        <v>0</v>
      </c>
      <c r="K735" s="148" t="s">
        <v>72</v>
      </c>
    </row>
    <row r="736" spans="1:11" s="46" customFormat="1" ht="30" customHeight="1" x14ac:dyDescent="0.3">
      <c r="A736" s="104">
        <f>A735+1</f>
        <v>533</v>
      </c>
      <c r="B736" s="209"/>
      <c r="C736" s="148" t="s">
        <v>820</v>
      </c>
      <c r="D736" s="148" t="s">
        <v>821</v>
      </c>
      <c r="E736" s="146" t="s">
        <v>12</v>
      </c>
      <c r="F736" s="105">
        <v>7300</v>
      </c>
      <c r="G736" s="105">
        <v>0</v>
      </c>
      <c r="H736" s="105">
        <v>7300</v>
      </c>
      <c r="I736" s="105">
        <v>0</v>
      </c>
      <c r="J736" s="105">
        <v>0</v>
      </c>
      <c r="K736" s="148" t="s">
        <v>72</v>
      </c>
    </row>
    <row r="737" spans="1:11" s="46" customFormat="1" ht="39.6" customHeight="1" x14ac:dyDescent="0.3">
      <c r="A737" s="104">
        <f t="shared" ref="A737:A757" si="23">A736+1</f>
        <v>534</v>
      </c>
      <c r="B737" s="209"/>
      <c r="C737" s="148" t="s">
        <v>822</v>
      </c>
      <c r="D737" s="148" t="s">
        <v>91</v>
      </c>
      <c r="E737" s="146" t="s">
        <v>12</v>
      </c>
      <c r="F737" s="105">
        <v>494.86</v>
      </c>
      <c r="G737" s="105">
        <v>494.86</v>
      </c>
      <c r="H737" s="105">
        <v>0</v>
      </c>
      <c r="I737" s="105">
        <v>0</v>
      </c>
      <c r="J737" s="105">
        <v>0</v>
      </c>
      <c r="K737" s="148" t="s">
        <v>72</v>
      </c>
    </row>
    <row r="738" spans="1:11" s="46" customFormat="1" ht="39.6" customHeight="1" x14ac:dyDescent="0.3">
      <c r="A738" s="104">
        <f t="shared" si="23"/>
        <v>535</v>
      </c>
      <c r="B738" s="209"/>
      <c r="C738" s="148" t="s">
        <v>823</v>
      </c>
      <c r="D738" s="148" t="s">
        <v>333</v>
      </c>
      <c r="E738" s="146" t="s">
        <v>12</v>
      </c>
      <c r="F738" s="105">
        <v>143.346</v>
      </c>
      <c r="G738" s="105">
        <v>143.346</v>
      </c>
      <c r="H738" s="105">
        <v>0</v>
      </c>
      <c r="I738" s="105">
        <v>0</v>
      </c>
      <c r="J738" s="105">
        <v>0</v>
      </c>
      <c r="K738" s="148" t="s">
        <v>76</v>
      </c>
    </row>
    <row r="739" spans="1:11" s="46" customFormat="1" ht="39.6" customHeight="1" x14ac:dyDescent="0.3">
      <c r="A739" s="104">
        <f t="shared" si="23"/>
        <v>536</v>
      </c>
      <c r="B739" s="209"/>
      <c r="C739" s="148" t="s">
        <v>824</v>
      </c>
      <c r="D739" s="148" t="s">
        <v>286</v>
      </c>
      <c r="E739" s="146" t="s">
        <v>12</v>
      </c>
      <c r="F739" s="105">
        <v>682.9</v>
      </c>
      <c r="G739" s="105">
        <v>0</v>
      </c>
      <c r="H739" s="105">
        <v>682.9</v>
      </c>
      <c r="I739" s="105">
        <v>0</v>
      </c>
      <c r="J739" s="105">
        <v>0</v>
      </c>
      <c r="K739" s="148" t="s">
        <v>72</v>
      </c>
    </row>
    <row r="740" spans="1:11" s="46" customFormat="1" ht="39.6" customHeight="1" x14ac:dyDescent="0.3">
      <c r="A740" s="104">
        <f t="shared" si="23"/>
        <v>537</v>
      </c>
      <c r="B740" s="209"/>
      <c r="C740" s="148" t="s">
        <v>825</v>
      </c>
      <c r="D740" s="148" t="s">
        <v>323</v>
      </c>
      <c r="E740" s="146" t="s">
        <v>12</v>
      </c>
      <c r="F740" s="105">
        <v>5604.3450000000003</v>
      </c>
      <c r="G740" s="105">
        <v>5604.3450000000003</v>
      </c>
      <c r="H740" s="105">
        <v>0</v>
      </c>
      <c r="I740" s="105">
        <v>0</v>
      </c>
      <c r="J740" s="105">
        <v>0</v>
      </c>
      <c r="K740" s="148" t="s">
        <v>72</v>
      </c>
    </row>
    <row r="741" spans="1:11" s="46" customFormat="1" ht="39.6" customHeight="1" x14ac:dyDescent="0.3">
      <c r="A741" s="104">
        <f t="shared" si="23"/>
        <v>538</v>
      </c>
      <c r="B741" s="209"/>
      <c r="C741" s="148" t="s">
        <v>826</v>
      </c>
      <c r="D741" s="148" t="s">
        <v>827</v>
      </c>
      <c r="E741" s="146" t="s">
        <v>12</v>
      </c>
      <c r="F741" s="105">
        <v>609.45000000000005</v>
      </c>
      <c r="G741" s="105">
        <v>609.45000000000005</v>
      </c>
      <c r="H741" s="105">
        <v>0</v>
      </c>
      <c r="I741" s="105">
        <v>0</v>
      </c>
      <c r="J741" s="105">
        <v>0</v>
      </c>
      <c r="K741" s="148" t="s">
        <v>69</v>
      </c>
    </row>
    <row r="742" spans="1:11" s="46" customFormat="1" ht="59.4" customHeight="1" x14ac:dyDescent="0.3">
      <c r="A742" s="104">
        <f t="shared" si="23"/>
        <v>539</v>
      </c>
      <c r="B742" s="209"/>
      <c r="C742" s="148" t="s">
        <v>828</v>
      </c>
      <c r="D742" s="148" t="s">
        <v>829</v>
      </c>
      <c r="E742" s="146" t="s">
        <v>12</v>
      </c>
      <c r="F742" s="105">
        <v>404.5</v>
      </c>
      <c r="G742" s="105">
        <v>0</v>
      </c>
      <c r="H742" s="105">
        <v>404.5</v>
      </c>
      <c r="I742" s="105">
        <v>0</v>
      </c>
      <c r="J742" s="105">
        <v>0</v>
      </c>
      <c r="K742" s="148" t="s">
        <v>72</v>
      </c>
    </row>
    <row r="743" spans="1:11" s="46" customFormat="1" ht="72" customHeight="1" x14ac:dyDescent="0.3">
      <c r="A743" s="104">
        <f t="shared" si="23"/>
        <v>540</v>
      </c>
      <c r="B743" s="209"/>
      <c r="C743" s="148" t="s">
        <v>830</v>
      </c>
      <c r="D743" s="148" t="s">
        <v>831</v>
      </c>
      <c r="E743" s="146" t="s">
        <v>12</v>
      </c>
      <c r="F743" s="105">
        <v>249.49</v>
      </c>
      <c r="G743" s="105">
        <v>0</v>
      </c>
      <c r="H743" s="105">
        <v>249.49</v>
      </c>
      <c r="I743" s="105">
        <v>0</v>
      </c>
      <c r="J743" s="105">
        <v>0</v>
      </c>
      <c r="K743" s="148" t="s">
        <v>72</v>
      </c>
    </row>
    <row r="744" spans="1:11" s="46" customFormat="1" ht="75.599999999999994" customHeight="1" x14ac:dyDescent="0.3">
      <c r="A744" s="104">
        <f t="shared" si="23"/>
        <v>541</v>
      </c>
      <c r="B744" s="209"/>
      <c r="C744" s="148" t="s">
        <v>832</v>
      </c>
      <c r="D744" s="148" t="s">
        <v>833</v>
      </c>
      <c r="E744" s="146" t="s">
        <v>12</v>
      </c>
      <c r="F744" s="105">
        <v>1200</v>
      </c>
      <c r="G744" s="105">
        <v>1200</v>
      </c>
      <c r="H744" s="105">
        <v>0</v>
      </c>
      <c r="I744" s="105">
        <v>0</v>
      </c>
      <c r="J744" s="105">
        <v>0</v>
      </c>
      <c r="K744" s="148" t="s">
        <v>76</v>
      </c>
    </row>
    <row r="745" spans="1:11" s="46" customFormat="1" ht="26.4" x14ac:dyDescent="0.3">
      <c r="A745" s="104">
        <f t="shared" si="23"/>
        <v>542</v>
      </c>
      <c r="B745" s="209"/>
      <c r="C745" s="148" t="s">
        <v>834</v>
      </c>
      <c r="D745" s="148" t="s">
        <v>91</v>
      </c>
      <c r="E745" s="146" t="s">
        <v>12</v>
      </c>
      <c r="F745" s="105">
        <v>400.59197999999998</v>
      </c>
      <c r="G745" s="105">
        <v>400.59197999999998</v>
      </c>
      <c r="H745" s="105">
        <v>0</v>
      </c>
      <c r="I745" s="105">
        <v>0</v>
      </c>
      <c r="J745" s="105">
        <v>0</v>
      </c>
      <c r="K745" s="148" t="s">
        <v>72</v>
      </c>
    </row>
    <row r="746" spans="1:11" s="46" customFormat="1" ht="26.4" x14ac:dyDescent="0.3">
      <c r="A746" s="104">
        <f t="shared" si="23"/>
        <v>543</v>
      </c>
      <c r="B746" s="209"/>
      <c r="C746" s="148" t="s">
        <v>835</v>
      </c>
      <c r="D746" s="148" t="s">
        <v>827</v>
      </c>
      <c r="E746" s="146" t="s">
        <v>12</v>
      </c>
      <c r="F746" s="105">
        <v>994.95</v>
      </c>
      <c r="G746" s="105">
        <v>994.95</v>
      </c>
      <c r="H746" s="105">
        <v>0</v>
      </c>
      <c r="I746" s="105">
        <v>0</v>
      </c>
      <c r="J746" s="105">
        <v>0</v>
      </c>
      <c r="K746" s="148" t="s">
        <v>69</v>
      </c>
    </row>
    <row r="747" spans="1:11" s="46" customFormat="1" ht="66.599999999999994" customHeight="1" x14ac:dyDescent="0.3">
      <c r="A747" s="104">
        <f t="shared" si="23"/>
        <v>544</v>
      </c>
      <c r="B747" s="209"/>
      <c r="C747" s="148" t="s">
        <v>836</v>
      </c>
      <c r="D747" s="148" t="s">
        <v>837</v>
      </c>
      <c r="E747" s="146" t="s">
        <v>12</v>
      </c>
      <c r="F747" s="105">
        <v>564</v>
      </c>
      <c r="G747" s="105">
        <v>564</v>
      </c>
      <c r="H747" s="105">
        <v>0</v>
      </c>
      <c r="I747" s="105">
        <v>0</v>
      </c>
      <c r="J747" s="105">
        <v>0</v>
      </c>
      <c r="K747" s="148" t="s">
        <v>72</v>
      </c>
    </row>
    <row r="748" spans="1:11" s="46" customFormat="1" ht="41.4" customHeight="1" x14ac:dyDescent="0.3">
      <c r="A748" s="104">
        <f t="shared" si="23"/>
        <v>545</v>
      </c>
      <c r="B748" s="209"/>
      <c r="C748" s="148" t="s">
        <v>838</v>
      </c>
      <c r="D748" s="148" t="s">
        <v>743</v>
      </c>
      <c r="E748" s="146" t="s">
        <v>12</v>
      </c>
      <c r="F748" s="105">
        <v>5800</v>
      </c>
      <c r="G748" s="105">
        <v>5800</v>
      </c>
      <c r="H748" s="105">
        <v>0</v>
      </c>
      <c r="I748" s="105">
        <v>0</v>
      </c>
      <c r="J748" s="105">
        <v>0</v>
      </c>
      <c r="K748" s="148" t="s">
        <v>72</v>
      </c>
    </row>
    <row r="749" spans="1:11" s="46" customFormat="1" ht="33.6" customHeight="1" x14ac:dyDescent="0.3">
      <c r="A749" s="104">
        <f t="shared" si="23"/>
        <v>546</v>
      </c>
      <c r="B749" s="209"/>
      <c r="C749" s="148" t="s">
        <v>839</v>
      </c>
      <c r="D749" s="148" t="s">
        <v>743</v>
      </c>
      <c r="E749" s="146" t="s">
        <v>12</v>
      </c>
      <c r="F749" s="105">
        <v>3080.8789900000002</v>
      </c>
      <c r="G749" s="105">
        <v>3080.8789900000002</v>
      </c>
      <c r="H749" s="105">
        <v>0</v>
      </c>
      <c r="I749" s="105">
        <v>0</v>
      </c>
      <c r="J749" s="105">
        <v>0</v>
      </c>
      <c r="K749" s="148" t="s">
        <v>72</v>
      </c>
    </row>
    <row r="750" spans="1:11" s="46" customFormat="1" ht="26.4" x14ac:dyDescent="0.3">
      <c r="A750" s="104">
        <f t="shared" si="23"/>
        <v>547</v>
      </c>
      <c r="B750" s="209"/>
      <c r="C750" s="148" t="s">
        <v>840</v>
      </c>
      <c r="D750" s="148" t="s">
        <v>243</v>
      </c>
      <c r="E750" s="146" t="s">
        <v>12</v>
      </c>
      <c r="F750" s="105">
        <v>1.0000000000000001E-5</v>
      </c>
      <c r="G750" s="105">
        <v>1.0000000000000001E-5</v>
      </c>
      <c r="H750" s="105">
        <v>0</v>
      </c>
      <c r="I750" s="105">
        <v>0</v>
      </c>
      <c r="J750" s="105">
        <v>0</v>
      </c>
      <c r="K750" s="148" t="s">
        <v>72</v>
      </c>
    </row>
    <row r="751" spans="1:11" s="46" customFormat="1" ht="26.4" x14ac:dyDescent="0.3">
      <c r="A751" s="104">
        <f t="shared" si="23"/>
        <v>548</v>
      </c>
      <c r="B751" s="209"/>
      <c r="C751" s="148" t="s">
        <v>841</v>
      </c>
      <c r="D751" s="148" t="s">
        <v>243</v>
      </c>
      <c r="E751" s="146" t="s">
        <v>12</v>
      </c>
      <c r="F751" s="105">
        <v>498.8</v>
      </c>
      <c r="G751" s="105">
        <v>498.8</v>
      </c>
      <c r="H751" s="105">
        <v>0</v>
      </c>
      <c r="I751" s="105">
        <v>0</v>
      </c>
      <c r="J751" s="105">
        <v>0</v>
      </c>
      <c r="K751" s="148" t="s">
        <v>72</v>
      </c>
    </row>
    <row r="752" spans="1:11" s="46" customFormat="1" ht="26.4" x14ac:dyDescent="0.3">
      <c r="A752" s="104">
        <f t="shared" si="23"/>
        <v>549</v>
      </c>
      <c r="B752" s="209"/>
      <c r="C752" s="148" t="s">
        <v>842</v>
      </c>
      <c r="D752" s="148" t="s">
        <v>843</v>
      </c>
      <c r="E752" s="146" t="s">
        <v>12</v>
      </c>
      <c r="F752" s="105">
        <v>473.62</v>
      </c>
      <c r="G752" s="105">
        <v>473.62</v>
      </c>
      <c r="H752" s="105">
        <v>0</v>
      </c>
      <c r="I752" s="105">
        <v>0</v>
      </c>
      <c r="J752" s="105">
        <v>0</v>
      </c>
      <c r="K752" s="148" t="s">
        <v>72</v>
      </c>
    </row>
    <row r="753" spans="1:11" s="46" customFormat="1" ht="35.4" customHeight="1" x14ac:dyDescent="0.3">
      <c r="A753" s="104">
        <f t="shared" si="23"/>
        <v>550</v>
      </c>
      <c r="B753" s="209"/>
      <c r="C753" s="148" t="s">
        <v>844</v>
      </c>
      <c r="D753" s="148" t="s">
        <v>821</v>
      </c>
      <c r="E753" s="146" t="s">
        <v>12</v>
      </c>
      <c r="F753" s="105">
        <v>7300</v>
      </c>
      <c r="G753" s="105">
        <v>0</v>
      </c>
      <c r="H753" s="105">
        <v>0</v>
      </c>
      <c r="I753" s="105">
        <v>7300</v>
      </c>
      <c r="J753" s="105">
        <v>0</v>
      </c>
      <c r="K753" s="148" t="s">
        <v>282</v>
      </c>
    </row>
    <row r="754" spans="1:11" s="46" customFormat="1" ht="35.4" customHeight="1" x14ac:dyDescent="0.3">
      <c r="A754" s="104">
        <f t="shared" si="23"/>
        <v>551</v>
      </c>
      <c r="B754" s="209"/>
      <c r="C754" s="148" t="s">
        <v>845</v>
      </c>
      <c r="D754" s="148" t="s">
        <v>743</v>
      </c>
      <c r="E754" s="146" t="s">
        <v>12</v>
      </c>
      <c r="F754" s="105">
        <v>6281.9219999999996</v>
      </c>
      <c r="G754" s="105">
        <v>0</v>
      </c>
      <c r="H754" s="105">
        <v>6281.9219999999996</v>
      </c>
      <c r="I754" s="105">
        <v>0</v>
      </c>
      <c r="J754" s="105">
        <v>0</v>
      </c>
      <c r="K754" s="148" t="s">
        <v>282</v>
      </c>
    </row>
    <row r="755" spans="1:11" s="46" customFormat="1" ht="35.4" customHeight="1" x14ac:dyDescent="0.3">
      <c r="A755" s="104">
        <f t="shared" si="23"/>
        <v>552</v>
      </c>
      <c r="B755" s="209"/>
      <c r="C755" s="148" t="s">
        <v>846</v>
      </c>
      <c r="D755" s="148" t="s">
        <v>286</v>
      </c>
      <c r="E755" s="146" t="s">
        <v>12</v>
      </c>
      <c r="F755" s="105">
        <v>7589.7424800000008</v>
      </c>
      <c r="G755" s="105">
        <v>0</v>
      </c>
      <c r="H755" s="105">
        <v>7589.7424800000008</v>
      </c>
      <c r="I755" s="105">
        <v>0</v>
      </c>
      <c r="J755" s="105">
        <v>0</v>
      </c>
      <c r="K755" s="148" t="s">
        <v>316</v>
      </c>
    </row>
    <row r="756" spans="1:11" s="46" customFormat="1" ht="35.4" customHeight="1" x14ac:dyDescent="0.3">
      <c r="A756" s="104">
        <f t="shared" si="23"/>
        <v>553</v>
      </c>
      <c r="B756" s="209"/>
      <c r="C756" s="148" t="s">
        <v>847</v>
      </c>
      <c r="D756" s="148" t="s">
        <v>286</v>
      </c>
      <c r="E756" s="146" t="s">
        <v>12</v>
      </c>
      <c r="F756" s="105">
        <v>8677.1424800000004</v>
      </c>
      <c r="G756" s="105">
        <v>0</v>
      </c>
      <c r="H756" s="105">
        <v>0</v>
      </c>
      <c r="I756" s="105">
        <v>8677.1424800000004</v>
      </c>
      <c r="J756" s="105">
        <v>0</v>
      </c>
      <c r="K756" s="148" t="s">
        <v>359</v>
      </c>
    </row>
    <row r="757" spans="1:11" s="46" customFormat="1" ht="35.4" customHeight="1" x14ac:dyDescent="0.3">
      <c r="A757" s="104">
        <f t="shared" si="23"/>
        <v>554</v>
      </c>
      <c r="B757" s="209"/>
      <c r="C757" s="148" t="s">
        <v>848</v>
      </c>
      <c r="D757" s="148" t="s">
        <v>743</v>
      </c>
      <c r="E757" s="146" t="s">
        <v>12</v>
      </c>
      <c r="F757" s="105">
        <v>6281.9219999999996</v>
      </c>
      <c r="G757" s="105">
        <v>0</v>
      </c>
      <c r="H757" s="105">
        <v>0</v>
      </c>
      <c r="I757" s="105">
        <v>6281.9219999999996</v>
      </c>
      <c r="J757" s="105">
        <v>0</v>
      </c>
      <c r="K757" s="148" t="s">
        <v>318</v>
      </c>
    </row>
    <row r="758" spans="1:11" s="47" customFormat="1" ht="12.6" customHeight="1" x14ac:dyDescent="0.3">
      <c r="A758" s="213" t="s">
        <v>57</v>
      </c>
      <c r="B758" s="213"/>
      <c r="C758" s="213"/>
      <c r="D758" s="213"/>
      <c r="E758" s="147"/>
      <c r="F758" s="106"/>
      <c r="G758" s="107">
        <f>SUM(G735:G757)</f>
        <v>19864.841979999997</v>
      </c>
      <c r="H758" s="107"/>
      <c r="I758" s="107"/>
      <c r="J758" s="107"/>
      <c r="K758" s="147"/>
    </row>
    <row r="759" spans="1:11" s="49" customFormat="1" ht="17.399999999999999" customHeight="1" x14ac:dyDescent="0.3">
      <c r="A759" s="214" t="s">
        <v>62</v>
      </c>
      <c r="B759" s="215"/>
      <c r="C759" s="215"/>
      <c r="D759" s="215"/>
      <c r="E759" s="147"/>
      <c r="F759" s="106"/>
      <c r="G759" s="106"/>
      <c r="H759" s="107">
        <f>SUM(H735:H757)</f>
        <v>23944.528979999999</v>
      </c>
      <c r="I759" s="107"/>
      <c r="J759" s="107"/>
      <c r="K759" s="147"/>
    </row>
    <row r="760" spans="1:11" s="49" customFormat="1" ht="15" customHeight="1" x14ac:dyDescent="0.3">
      <c r="A760" s="214" t="s">
        <v>19</v>
      </c>
      <c r="B760" s="215"/>
      <c r="C760" s="215"/>
      <c r="D760" s="215"/>
      <c r="E760" s="147"/>
      <c r="F760" s="106"/>
      <c r="G760" s="106"/>
      <c r="H760" s="107"/>
      <c r="I760" s="107">
        <f>SUM(I735:I757)</f>
        <v>22389.924479999998</v>
      </c>
      <c r="J760" s="107"/>
      <c r="K760" s="147"/>
    </row>
    <row r="761" spans="1:11" s="50" customFormat="1" ht="89.4" customHeight="1" x14ac:dyDescent="0.25">
      <c r="A761" s="104">
        <v>555</v>
      </c>
      <c r="B761" s="212" t="s">
        <v>849</v>
      </c>
      <c r="C761" s="148" t="s">
        <v>850</v>
      </c>
      <c r="D761" s="148" t="s">
        <v>833</v>
      </c>
      <c r="E761" s="148" t="s">
        <v>12</v>
      </c>
      <c r="F761" s="105">
        <v>1200</v>
      </c>
      <c r="G761" s="105">
        <v>1200</v>
      </c>
      <c r="H761" s="105">
        <v>0</v>
      </c>
      <c r="I761" s="105">
        <v>0</v>
      </c>
      <c r="J761" s="105">
        <v>0</v>
      </c>
      <c r="K761" s="148" t="s">
        <v>76</v>
      </c>
    </row>
    <row r="762" spans="1:11" s="50" customFormat="1" ht="37.950000000000003" customHeight="1" x14ac:dyDescent="0.25">
      <c r="A762" s="104">
        <f>A761+1</f>
        <v>556</v>
      </c>
      <c r="B762" s="212"/>
      <c r="C762" s="148" t="s">
        <v>851</v>
      </c>
      <c r="D762" s="148" t="s">
        <v>852</v>
      </c>
      <c r="E762" s="148" t="s">
        <v>12</v>
      </c>
      <c r="F762" s="105">
        <v>14777.615</v>
      </c>
      <c r="G762" s="105">
        <v>14777.615</v>
      </c>
      <c r="H762" s="105">
        <v>0</v>
      </c>
      <c r="I762" s="105">
        <v>0</v>
      </c>
      <c r="J762" s="105">
        <v>0</v>
      </c>
      <c r="K762" s="148" t="s">
        <v>76</v>
      </c>
    </row>
    <row r="763" spans="1:11" s="50" customFormat="1" ht="37.950000000000003" customHeight="1" x14ac:dyDescent="0.25">
      <c r="A763" s="104">
        <f t="shared" ref="A763:A779" si="24">A762+1</f>
        <v>557</v>
      </c>
      <c r="B763" s="212"/>
      <c r="C763" s="148" t="s">
        <v>853</v>
      </c>
      <c r="D763" s="148" t="s">
        <v>243</v>
      </c>
      <c r="E763" s="148" t="s">
        <v>12</v>
      </c>
      <c r="F763" s="105">
        <v>734.04776000000004</v>
      </c>
      <c r="G763" s="105">
        <v>734.04776000000004</v>
      </c>
      <c r="H763" s="105">
        <v>0</v>
      </c>
      <c r="I763" s="105">
        <v>0</v>
      </c>
      <c r="J763" s="105">
        <v>0</v>
      </c>
      <c r="K763" s="148" t="s">
        <v>76</v>
      </c>
    </row>
    <row r="764" spans="1:11" s="50" customFormat="1" ht="37.950000000000003" customHeight="1" x14ac:dyDescent="0.25">
      <c r="A764" s="104">
        <f t="shared" si="24"/>
        <v>558</v>
      </c>
      <c r="B764" s="212"/>
      <c r="C764" s="148" t="s">
        <v>854</v>
      </c>
      <c r="D764" s="148" t="s">
        <v>855</v>
      </c>
      <c r="E764" s="148" t="s">
        <v>12</v>
      </c>
      <c r="F764" s="105">
        <v>4264.2449999999999</v>
      </c>
      <c r="G764" s="105">
        <v>4264.2449999999999</v>
      </c>
      <c r="H764" s="105">
        <v>0</v>
      </c>
      <c r="I764" s="105">
        <v>0</v>
      </c>
      <c r="J764" s="105">
        <v>0</v>
      </c>
      <c r="K764" s="148" t="s">
        <v>76</v>
      </c>
    </row>
    <row r="765" spans="1:11" s="50" customFormat="1" ht="52.95" customHeight="1" x14ac:dyDescent="0.25">
      <c r="A765" s="104">
        <f t="shared" si="24"/>
        <v>559</v>
      </c>
      <c r="B765" s="212"/>
      <c r="C765" s="148" t="s">
        <v>856</v>
      </c>
      <c r="D765" s="148" t="s">
        <v>93</v>
      </c>
      <c r="E765" s="148" t="s">
        <v>12</v>
      </c>
      <c r="F765" s="105">
        <v>1636.55</v>
      </c>
      <c r="G765" s="105">
        <v>1636.55</v>
      </c>
      <c r="H765" s="105">
        <v>0</v>
      </c>
      <c r="I765" s="105">
        <v>0</v>
      </c>
      <c r="J765" s="105">
        <v>0</v>
      </c>
      <c r="K765" s="148" t="s">
        <v>76</v>
      </c>
    </row>
    <row r="766" spans="1:11" s="50" customFormat="1" ht="30" customHeight="1" x14ac:dyDescent="0.25">
      <c r="A766" s="104">
        <f t="shared" si="24"/>
        <v>560</v>
      </c>
      <c r="B766" s="212"/>
      <c r="C766" s="148" t="s">
        <v>857</v>
      </c>
      <c r="D766" s="148" t="s">
        <v>298</v>
      </c>
      <c r="E766" s="148" t="s">
        <v>12</v>
      </c>
      <c r="F766" s="105">
        <v>3291.71</v>
      </c>
      <c r="G766" s="105">
        <v>3291.71</v>
      </c>
      <c r="H766" s="105">
        <v>0</v>
      </c>
      <c r="I766" s="105">
        <v>0</v>
      </c>
      <c r="J766" s="105">
        <v>0</v>
      </c>
      <c r="K766" s="148" t="s">
        <v>76</v>
      </c>
    </row>
    <row r="767" spans="1:11" s="50" customFormat="1" ht="33" customHeight="1" x14ac:dyDescent="0.25">
      <c r="A767" s="104">
        <f t="shared" si="24"/>
        <v>561</v>
      </c>
      <c r="B767" s="212"/>
      <c r="C767" s="148" t="s">
        <v>858</v>
      </c>
      <c r="D767" s="148" t="s">
        <v>579</v>
      </c>
      <c r="E767" s="148" t="s">
        <v>12</v>
      </c>
      <c r="F767" s="105">
        <v>6417.5349999999999</v>
      </c>
      <c r="G767" s="105">
        <v>6417.5349999999999</v>
      </c>
      <c r="H767" s="105">
        <v>0</v>
      </c>
      <c r="I767" s="105">
        <v>0</v>
      </c>
      <c r="J767" s="105">
        <v>0</v>
      </c>
      <c r="K767" s="148" t="s">
        <v>76</v>
      </c>
    </row>
    <row r="768" spans="1:11" s="50" customFormat="1" ht="34.5" customHeight="1" x14ac:dyDescent="0.25">
      <c r="A768" s="104">
        <f t="shared" si="24"/>
        <v>562</v>
      </c>
      <c r="B768" s="212"/>
      <c r="C768" s="148" t="s">
        <v>859</v>
      </c>
      <c r="D768" s="148" t="s">
        <v>860</v>
      </c>
      <c r="E768" s="148" t="s">
        <v>12</v>
      </c>
      <c r="F768" s="105">
        <v>1203.125</v>
      </c>
      <c r="G768" s="105">
        <v>1203.125</v>
      </c>
      <c r="H768" s="105">
        <v>0</v>
      </c>
      <c r="I768" s="105">
        <v>0</v>
      </c>
      <c r="J768" s="105">
        <v>0</v>
      </c>
      <c r="K768" s="148" t="s">
        <v>76</v>
      </c>
    </row>
    <row r="769" spans="1:11" s="50" customFormat="1" ht="34.5" customHeight="1" x14ac:dyDescent="0.25">
      <c r="A769" s="104">
        <f t="shared" si="24"/>
        <v>563</v>
      </c>
      <c r="B769" s="212"/>
      <c r="C769" s="148" t="s">
        <v>861</v>
      </c>
      <c r="D769" s="148" t="s">
        <v>81</v>
      </c>
      <c r="E769" s="148" t="s">
        <v>12</v>
      </c>
      <c r="F769" s="105">
        <v>208.05500000000001</v>
      </c>
      <c r="G769" s="105">
        <v>208.05500000000001</v>
      </c>
      <c r="H769" s="105">
        <v>0</v>
      </c>
      <c r="I769" s="105">
        <v>0</v>
      </c>
      <c r="J769" s="105">
        <v>0</v>
      </c>
      <c r="K769" s="148" t="s">
        <v>76</v>
      </c>
    </row>
    <row r="770" spans="1:11" s="50" customFormat="1" ht="43.95" customHeight="1" x14ac:dyDescent="0.25">
      <c r="A770" s="104">
        <f t="shared" si="24"/>
        <v>564</v>
      </c>
      <c r="B770" s="212"/>
      <c r="C770" s="148" t="s">
        <v>862</v>
      </c>
      <c r="D770" s="148" t="s">
        <v>863</v>
      </c>
      <c r="E770" s="148" t="s">
        <v>12</v>
      </c>
      <c r="F770" s="105">
        <v>14777.615</v>
      </c>
      <c r="G770" s="105">
        <v>14777.615</v>
      </c>
      <c r="H770" s="105">
        <v>0</v>
      </c>
      <c r="I770" s="105">
        <v>0</v>
      </c>
      <c r="J770" s="105">
        <v>0</v>
      </c>
      <c r="K770" s="148" t="s">
        <v>76</v>
      </c>
    </row>
    <row r="771" spans="1:11" s="50" customFormat="1" ht="37.950000000000003" customHeight="1" x14ac:dyDescent="0.25">
      <c r="A771" s="104">
        <f t="shared" si="24"/>
        <v>565</v>
      </c>
      <c r="B771" s="212"/>
      <c r="C771" s="148" t="s">
        <v>864</v>
      </c>
      <c r="D771" s="148" t="s">
        <v>290</v>
      </c>
      <c r="E771" s="148" t="s">
        <v>12</v>
      </c>
      <c r="F771" s="105">
        <v>2005.84</v>
      </c>
      <c r="G771" s="105">
        <v>2005.84</v>
      </c>
      <c r="H771" s="105">
        <v>0</v>
      </c>
      <c r="I771" s="105">
        <v>0</v>
      </c>
      <c r="J771" s="105">
        <v>0</v>
      </c>
      <c r="K771" s="148" t="s">
        <v>76</v>
      </c>
    </row>
    <row r="772" spans="1:11" s="50" customFormat="1" ht="37.950000000000003" customHeight="1" x14ac:dyDescent="0.25">
      <c r="A772" s="104">
        <f t="shared" si="24"/>
        <v>566</v>
      </c>
      <c r="B772" s="212"/>
      <c r="C772" s="148" t="s">
        <v>865</v>
      </c>
      <c r="D772" s="148" t="s">
        <v>866</v>
      </c>
      <c r="E772" s="148" t="s">
        <v>12</v>
      </c>
      <c r="F772" s="105">
        <v>500</v>
      </c>
      <c r="G772" s="105">
        <v>500</v>
      </c>
      <c r="H772" s="105">
        <v>0</v>
      </c>
      <c r="I772" s="105">
        <v>0</v>
      </c>
      <c r="J772" s="105">
        <v>0</v>
      </c>
      <c r="K772" s="148" t="s">
        <v>76</v>
      </c>
    </row>
    <row r="773" spans="1:11" s="50" customFormat="1" ht="37.950000000000003" customHeight="1" x14ac:dyDescent="0.25">
      <c r="A773" s="104">
        <f t="shared" si="24"/>
        <v>567</v>
      </c>
      <c r="B773" s="212"/>
      <c r="C773" s="148" t="s">
        <v>867</v>
      </c>
      <c r="D773" s="148" t="s">
        <v>243</v>
      </c>
      <c r="E773" s="148" t="s">
        <v>12</v>
      </c>
      <c r="F773" s="105">
        <v>15597.816000000001</v>
      </c>
      <c r="G773" s="105">
        <v>0</v>
      </c>
      <c r="H773" s="105">
        <v>15597.816000000001</v>
      </c>
      <c r="I773" s="105">
        <v>0</v>
      </c>
      <c r="J773" s="105">
        <v>0</v>
      </c>
      <c r="K773" s="148" t="s">
        <v>282</v>
      </c>
    </row>
    <row r="774" spans="1:11" s="50" customFormat="1" ht="37.950000000000003" customHeight="1" x14ac:dyDescent="0.25">
      <c r="A774" s="104">
        <f t="shared" si="24"/>
        <v>568</v>
      </c>
      <c r="B774" s="212"/>
      <c r="C774" s="148" t="s">
        <v>868</v>
      </c>
      <c r="D774" s="148" t="s">
        <v>869</v>
      </c>
      <c r="E774" s="148" t="s">
        <v>12</v>
      </c>
      <c r="F774" s="105">
        <v>20983.1584</v>
      </c>
      <c r="G774" s="105">
        <v>0</v>
      </c>
      <c r="H774" s="105">
        <v>20983.1584</v>
      </c>
      <c r="I774" s="105">
        <v>0</v>
      </c>
      <c r="J774" s="105">
        <v>0</v>
      </c>
      <c r="K774" s="148" t="s">
        <v>282</v>
      </c>
    </row>
    <row r="775" spans="1:11" s="50" customFormat="1" ht="37.950000000000003" customHeight="1" x14ac:dyDescent="0.25">
      <c r="A775" s="104">
        <f t="shared" si="24"/>
        <v>569</v>
      </c>
      <c r="B775" s="212"/>
      <c r="C775" s="148" t="s">
        <v>870</v>
      </c>
      <c r="D775" s="148" t="s">
        <v>855</v>
      </c>
      <c r="E775" s="148" t="s">
        <v>12</v>
      </c>
      <c r="F775" s="105">
        <v>9443.4419999999991</v>
      </c>
      <c r="G775" s="105">
        <v>0</v>
      </c>
      <c r="H775" s="105">
        <v>9443.4419999999991</v>
      </c>
      <c r="I775" s="105">
        <v>0</v>
      </c>
      <c r="J775" s="105">
        <v>0</v>
      </c>
      <c r="K775" s="148" t="s">
        <v>282</v>
      </c>
    </row>
    <row r="776" spans="1:11" s="50" customFormat="1" ht="72" customHeight="1" x14ac:dyDescent="0.25">
      <c r="A776" s="104">
        <f t="shared" si="24"/>
        <v>570</v>
      </c>
      <c r="B776" s="212"/>
      <c r="C776" s="148" t="s">
        <v>871</v>
      </c>
      <c r="D776" s="148" t="s">
        <v>872</v>
      </c>
      <c r="E776" s="148" t="s">
        <v>12</v>
      </c>
      <c r="F776" s="105">
        <v>1636.55</v>
      </c>
      <c r="G776" s="105">
        <v>0</v>
      </c>
      <c r="H776" s="105">
        <v>1636.55</v>
      </c>
      <c r="I776" s="105">
        <v>0</v>
      </c>
      <c r="J776" s="105">
        <v>0</v>
      </c>
      <c r="K776" s="148" t="s">
        <v>282</v>
      </c>
    </row>
    <row r="777" spans="1:11" s="50" customFormat="1" ht="37.950000000000003" customHeight="1" x14ac:dyDescent="0.25">
      <c r="A777" s="104">
        <f t="shared" si="24"/>
        <v>571</v>
      </c>
      <c r="B777" s="212"/>
      <c r="C777" s="148" t="s">
        <v>873</v>
      </c>
      <c r="D777" s="148" t="s">
        <v>243</v>
      </c>
      <c r="E777" s="148" t="s">
        <v>12</v>
      </c>
      <c r="F777" s="105">
        <v>15597.816000000001</v>
      </c>
      <c r="G777" s="105">
        <v>0</v>
      </c>
      <c r="H777" s="105">
        <v>0</v>
      </c>
      <c r="I777" s="105">
        <v>15597.816000000001</v>
      </c>
      <c r="J777" s="105">
        <v>0</v>
      </c>
      <c r="K777" s="148" t="s">
        <v>359</v>
      </c>
    </row>
    <row r="778" spans="1:11" s="50" customFormat="1" ht="37.950000000000003" customHeight="1" x14ac:dyDescent="0.25">
      <c r="A778" s="104">
        <f t="shared" si="24"/>
        <v>572</v>
      </c>
      <c r="B778" s="212"/>
      <c r="C778" s="148" t="s">
        <v>874</v>
      </c>
      <c r="D778" s="148" t="s">
        <v>869</v>
      </c>
      <c r="E778" s="148" t="s">
        <v>12</v>
      </c>
      <c r="F778" s="105">
        <v>20983.1584</v>
      </c>
      <c r="G778" s="105">
        <v>0</v>
      </c>
      <c r="H778" s="105">
        <v>0</v>
      </c>
      <c r="I778" s="105">
        <v>20983.1584</v>
      </c>
      <c r="J778" s="105">
        <v>0</v>
      </c>
      <c r="K778" s="148" t="s">
        <v>359</v>
      </c>
    </row>
    <row r="779" spans="1:11" s="50" customFormat="1" ht="75" customHeight="1" x14ac:dyDescent="0.25">
      <c r="A779" s="104">
        <f t="shared" si="24"/>
        <v>573</v>
      </c>
      <c r="B779" s="212"/>
      <c r="C779" s="148" t="s">
        <v>875</v>
      </c>
      <c r="D779" s="148" t="s">
        <v>872</v>
      </c>
      <c r="E779" s="148" t="s">
        <v>12</v>
      </c>
      <c r="F779" s="105">
        <v>1636.55</v>
      </c>
      <c r="G779" s="105">
        <v>0</v>
      </c>
      <c r="H779" s="105">
        <v>0</v>
      </c>
      <c r="I779" s="105">
        <v>1636.55</v>
      </c>
      <c r="J779" s="105">
        <v>0</v>
      </c>
      <c r="K779" s="148" t="s">
        <v>359</v>
      </c>
    </row>
    <row r="780" spans="1:11" s="47" customFormat="1" ht="15.6" customHeight="1" x14ac:dyDescent="0.3">
      <c r="A780" s="213" t="s">
        <v>57</v>
      </c>
      <c r="B780" s="213"/>
      <c r="C780" s="213"/>
      <c r="D780" s="213"/>
      <c r="E780" s="147"/>
      <c r="F780" s="106"/>
      <c r="G780" s="107">
        <f>SUM(G761:G779)</f>
        <v>51016.337759999995</v>
      </c>
      <c r="H780" s="107"/>
      <c r="I780" s="107"/>
      <c r="J780" s="107"/>
      <c r="K780" s="147"/>
    </row>
    <row r="781" spans="1:11" s="49" customFormat="1" ht="19.2" customHeight="1" x14ac:dyDescent="0.3">
      <c r="A781" s="214" t="s">
        <v>62</v>
      </c>
      <c r="B781" s="215"/>
      <c r="C781" s="215"/>
      <c r="D781" s="215"/>
      <c r="E781" s="147"/>
      <c r="F781" s="106"/>
      <c r="G781" s="106"/>
      <c r="H781" s="107">
        <f>SUM(H761:H779)</f>
        <v>47660.966400000005</v>
      </c>
      <c r="I781" s="107"/>
      <c r="J781" s="107"/>
      <c r="K781" s="147"/>
    </row>
    <row r="782" spans="1:11" s="49" customFormat="1" ht="19.2" customHeight="1" x14ac:dyDescent="0.3">
      <c r="A782" s="214" t="s">
        <v>19</v>
      </c>
      <c r="B782" s="215"/>
      <c r="C782" s="215"/>
      <c r="D782" s="215"/>
      <c r="E782" s="147"/>
      <c r="F782" s="106"/>
      <c r="G782" s="106"/>
      <c r="H782" s="107"/>
      <c r="I782" s="107">
        <f>SUM(I761:I779)</f>
        <v>38217.524400000002</v>
      </c>
      <c r="J782" s="107"/>
      <c r="K782" s="147"/>
    </row>
    <row r="783" spans="1:11" s="46" customFormat="1" ht="26.4" x14ac:dyDescent="0.3">
      <c r="A783" s="104">
        <v>574</v>
      </c>
      <c r="B783" s="209" t="s">
        <v>876</v>
      </c>
      <c r="C783" s="148" t="s">
        <v>877</v>
      </c>
      <c r="D783" s="148" t="s">
        <v>878</v>
      </c>
      <c r="E783" s="146" t="s">
        <v>12</v>
      </c>
      <c r="F783" s="105">
        <v>18706.639709999999</v>
      </c>
      <c r="G783" s="105">
        <v>18706.639709999999</v>
      </c>
      <c r="H783" s="105">
        <v>0</v>
      </c>
      <c r="I783" s="105">
        <v>0</v>
      </c>
      <c r="J783" s="105">
        <v>0</v>
      </c>
      <c r="K783" s="148" t="s">
        <v>72</v>
      </c>
    </row>
    <row r="784" spans="1:11" s="46" customFormat="1" ht="30.6" customHeight="1" x14ac:dyDescent="0.3">
      <c r="A784" s="104">
        <f>A783+1</f>
        <v>575</v>
      </c>
      <c r="B784" s="209"/>
      <c r="C784" s="148" t="s">
        <v>879</v>
      </c>
      <c r="D784" s="148" t="s">
        <v>286</v>
      </c>
      <c r="E784" s="146" t="s">
        <v>12</v>
      </c>
      <c r="F784" s="105">
        <v>2014</v>
      </c>
      <c r="G784" s="105">
        <v>2014</v>
      </c>
      <c r="H784" s="105">
        <v>0</v>
      </c>
      <c r="I784" s="105">
        <v>0</v>
      </c>
      <c r="J784" s="105">
        <v>0</v>
      </c>
      <c r="K784" s="148" t="s">
        <v>72</v>
      </c>
    </row>
    <row r="785" spans="1:11" s="46" customFormat="1" ht="68.400000000000006" customHeight="1" x14ac:dyDescent="0.3">
      <c r="A785" s="104">
        <f t="shared" ref="A785:A797" si="25">A784+1</f>
        <v>576</v>
      </c>
      <c r="B785" s="209"/>
      <c r="C785" s="148" t="s">
        <v>880</v>
      </c>
      <c r="D785" s="148" t="s">
        <v>473</v>
      </c>
      <c r="E785" s="146" t="s">
        <v>12</v>
      </c>
      <c r="F785" s="105">
        <v>1154.1679999999999</v>
      </c>
      <c r="G785" s="105">
        <v>1154.1679999999999</v>
      </c>
      <c r="H785" s="105">
        <v>0</v>
      </c>
      <c r="I785" s="105">
        <v>0</v>
      </c>
      <c r="J785" s="105">
        <v>0</v>
      </c>
      <c r="K785" s="148" t="s">
        <v>72</v>
      </c>
    </row>
    <row r="786" spans="1:11" s="46" customFormat="1" ht="26.4" x14ac:dyDescent="0.3">
      <c r="A786" s="104">
        <f t="shared" si="25"/>
        <v>577</v>
      </c>
      <c r="B786" s="209"/>
      <c r="C786" s="148" t="s">
        <v>881</v>
      </c>
      <c r="D786" s="148" t="s">
        <v>243</v>
      </c>
      <c r="E786" s="146" t="s">
        <v>12</v>
      </c>
      <c r="F786" s="105">
        <v>12659.95</v>
      </c>
      <c r="G786" s="105">
        <v>0</v>
      </c>
      <c r="H786" s="105">
        <v>12659.95</v>
      </c>
      <c r="I786" s="105">
        <v>0</v>
      </c>
      <c r="J786" s="105">
        <v>0</v>
      </c>
      <c r="K786" s="148" t="s">
        <v>76</v>
      </c>
    </row>
    <row r="787" spans="1:11" s="46" customFormat="1" ht="26.4" x14ac:dyDescent="0.3">
      <c r="A787" s="104">
        <f t="shared" si="25"/>
        <v>578</v>
      </c>
      <c r="B787" s="209"/>
      <c r="C787" s="148" t="s">
        <v>882</v>
      </c>
      <c r="D787" s="148" t="s">
        <v>323</v>
      </c>
      <c r="E787" s="146" t="s">
        <v>12</v>
      </c>
      <c r="F787" s="105">
        <v>8030.2</v>
      </c>
      <c r="G787" s="105">
        <v>8030.2</v>
      </c>
      <c r="H787" s="105">
        <v>0</v>
      </c>
      <c r="I787" s="105">
        <v>0</v>
      </c>
      <c r="J787" s="105">
        <v>0</v>
      </c>
      <c r="K787" s="148" t="s">
        <v>72</v>
      </c>
    </row>
    <row r="788" spans="1:11" s="46" customFormat="1" ht="26.4" x14ac:dyDescent="0.3">
      <c r="A788" s="104">
        <f t="shared" si="25"/>
        <v>579</v>
      </c>
      <c r="B788" s="209"/>
      <c r="C788" s="148" t="s">
        <v>883</v>
      </c>
      <c r="D788" s="148" t="s">
        <v>323</v>
      </c>
      <c r="E788" s="146" t="s">
        <v>12</v>
      </c>
      <c r="F788" s="105">
        <v>12921.842000000001</v>
      </c>
      <c r="G788" s="105">
        <v>12921.842000000001</v>
      </c>
      <c r="H788" s="105">
        <v>0</v>
      </c>
      <c r="I788" s="105">
        <v>0</v>
      </c>
      <c r="J788" s="105">
        <v>0</v>
      </c>
      <c r="K788" s="148" t="s">
        <v>72</v>
      </c>
    </row>
    <row r="789" spans="1:11" s="46" customFormat="1" ht="50.4" customHeight="1" x14ac:dyDescent="0.3">
      <c r="A789" s="104">
        <f t="shared" si="25"/>
        <v>580</v>
      </c>
      <c r="B789" s="209"/>
      <c r="C789" s="148" t="s">
        <v>884</v>
      </c>
      <c r="D789" s="148" t="s">
        <v>885</v>
      </c>
      <c r="E789" s="146" t="s">
        <v>12</v>
      </c>
      <c r="F789" s="105">
        <v>55.219199999999994</v>
      </c>
      <c r="G789" s="105">
        <v>24.84864</v>
      </c>
      <c r="H789" s="105">
        <v>30.370560000000001</v>
      </c>
      <c r="I789" s="105">
        <v>0</v>
      </c>
      <c r="J789" s="105">
        <v>0</v>
      </c>
      <c r="K789" s="148" t="s">
        <v>72</v>
      </c>
    </row>
    <row r="790" spans="1:11" s="46" customFormat="1" ht="26.4" x14ac:dyDescent="0.3">
      <c r="A790" s="104">
        <f t="shared" si="25"/>
        <v>581</v>
      </c>
      <c r="B790" s="209"/>
      <c r="C790" s="148" t="s">
        <v>886</v>
      </c>
      <c r="D790" s="148" t="s">
        <v>243</v>
      </c>
      <c r="E790" s="146" t="s">
        <v>12</v>
      </c>
      <c r="F790" s="105">
        <v>3226.8809999999999</v>
      </c>
      <c r="G790" s="105">
        <v>3226.8809999999999</v>
      </c>
      <c r="H790" s="105">
        <v>0</v>
      </c>
      <c r="I790" s="105">
        <v>0</v>
      </c>
      <c r="J790" s="105">
        <v>0</v>
      </c>
      <c r="K790" s="148" t="s">
        <v>72</v>
      </c>
    </row>
    <row r="791" spans="1:11" s="46" customFormat="1" ht="26.4" x14ac:dyDescent="0.3">
      <c r="A791" s="104">
        <f t="shared" si="25"/>
        <v>582</v>
      </c>
      <c r="B791" s="209"/>
      <c r="C791" s="148" t="s">
        <v>887</v>
      </c>
      <c r="D791" s="148" t="s">
        <v>243</v>
      </c>
      <c r="E791" s="146" t="s">
        <v>12</v>
      </c>
      <c r="F791" s="105">
        <v>910.404</v>
      </c>
      <c r="G791" s="105">
        <v>910.404</v>
      </c>
      <c r="H791" s="105">
        <v>0</v>
      </c>
      <c r="I791" s="105">
        <v>0</v>
      </c>
      <c r="J791" s="105">
        <v>0</v>
      </c>
      <c r="K791" s="148" t="s">
        <v>72</v>
      </c>
    </row>
    <row r="792" spans="1:11" s="46" customFormat="1" ht="26.4" x14ac:dyDescent="0.3">
      <c r="A792" s="104">
        <f t="shared" si="25"/>
        <v>583</v>
      </c>
      <c r="B792" s="209"/>
      <c r="C792" s="148" t="s">
        <v>888</v>
      </c>
      <c r="D792" s="148" t="s">
        <v>243</v>
      </c>
      <c r="E792" s="146" t="s">
        <v>12</v>
      </c>
      <c r="F792" s="105">
        <v>2746.971</v>
      </c>
      <c r="G792" s="105">
        <v>0</v>
      </c>
      <c r="H792" s="105">
        <v>2746.971</v>
      </c>
      <c r="I792" s="105">
        <v>0</v>
      </c>
      <c r="J792" s="105">
        <v>0</v>
      </c>
      <c r="K792" s="148" t="s">
        <v>282</v>
      </c>
    </row>
    <row r="793" spans="1:11" s="46" customFormat="1" ht="26.4" x14ac:dyDescent="0.3">
      <c r="A793" s="104">
        <f t="shared" si="25"/>
        <v>584</v>
      </c>
      <c r="B793" s="209"/>
      <c r="C793" s="148" t="s">
        <v>889</v>
      </c>
      <c r="D793" s="148" t="s">
        <v>878</v>
      </c>
      <c r="E793" s="146" t="s">
        <v>12</v>
      </c>
      <c r="F793" s="105">
        <v>15429.047289999999</v>
      </c>
      <c r="G793" s="105">
        <v>0</v>
      </c>
      <c r="H793" s="105">
        <v>15429.047289999999</v>
      </c>
      <c r="I793" s="105">
        <v>0</v>
      </c>
      <c r="J793" s="105">
        <v>0</v>
      </c>
      <c r="K793" s="148" t="s">
        <v>282</v>
      </c>
    </row>
    <row r="794" spans="1:11" s="46" customFormat="1" ht="55.2" customHeight="1" x14ac:dyDescent="0.3">
      <c r="A794" s="104">
        <f t="shared" si="25"/>
        <v>585</v>
      </c>
      <c r="B794" s="209"/>
      <c r="C794" s="148" t="s">
        <v>890</v>
      </c>
      <c r="D794" s="148" t="s">
        <v>93</v>
      </c>
      <c r="E794" s="146" t="s">
        <v>12</v>
      </c>
      <c r="F794" s="105">
        <v>2849.1864500000001</v>
      </c>
      <c r="G794" s="105">
        <v>0</v>
      </c>
      <c r="H794" s="105">
        <v>2849.1864500000001</v>
      </c>
      <c r="I794" s="105">
        <v>0</v>
      </c>
      <c r="J794" s="105">
        <v>0</v>
      </c>
      <c r="K794" s="148" t="s">
        <v>316</v>
      </c>
    </row>
    <row r="795" spans="1:11" s="46" customFormat="1" ht="26.4" x14ac:dyDescent="0.3">
      <c r="A795" s="104">
        <f t="shared" si="25"/>
        <v>586</v>
      </c>
      <c r="B795" s="209"/>
      <c r="C795" s="148" t="s">
        <v>891</v>
      </c>
      <c r="D795" s="148" t="s">
        <v>243</v>
      </c>
      <c r="E795" s="146" t="s">
        <v>12</v>
      </c>
      <c r="F795" s="105">
        <v>21906.920999999998</v>
      </c>
      <c r="G795" s="105">
        <v>0</v>
      </c>
      <c r="H795" s="105">
        <v>0</v>
      </c>
      <c r="I795" s="105">
        <v>21906.920999999998</v>
      </c>
      <c r="J795" s="105">
        <v>0</v>
      </c>
      <c r="K795" s="148" t="s">
        <v>359</v>
      </c>
    </row>
    <row r="796" spans="1:11" s="46" customFormat="1" ht="26.4" x14ac:dyDescent="0.3">
      <c r="A796" s="104">
        <f t="shared" si="25"/>
        <v>587</v>
      </c>
      <c r="B796" s="209"/>
      <c r="C796" s="148" t="s">
        <v>892</v>
      </c>
      <c r="D796" s="148" t="s">
        <v>878</v>
      </c>
      <c r="E796" s="146" t="s">
        <v>12</v>
      </c>
      <c r="F796" s="105">
        <v>20915.537670000002</v>
      </c>
      <c r="G796" s="105">
        <v>0</v>
      </c>
      <c r="H796" s="105">
        <v>0</v>
      </c>
      <c r="I796" s="105">
        <v>20915.537670000002</v>
      </c>
      <c r="J796" s="105">
        <v>0</v>
      </c>
      <c r="K796" s="148" t="s">
        <v>318</v>
      </c>
    </row>
    <row r="797" spans="1:11" s="46" customFormat="1" ht="52.95" customHeight="1" x14ac:dyDescent="0.3">
      <c r="A797" s="104">
        <f t="shared" si="25"/>
        <v>588</v>
      </c>
      <c r="B797" s="209"/>
      <c r="C797" s="148" t="s">
        <v>893</v>
      </c>
      <c r="D797" s="148" t="s">
        <v>93</v>
      </c>
      <c r="E797" s="146" t="s">
        <v>12</v>
      </c>
      <c r="F797" s="105">
        <v>4000</v>
      </c>
      <c r="G797" s="105">
        <v>0</v>
      </c>
      <c r="H797" s="105">
        <v>0</v>
      </c>
      <c r="I797" s="105">
        <v>4000</v>
      </c>
      <c r="J797" s="105">
        <v>0</v>
      </c>
      <c r="K797" s="148" t="s">
        <v>318</v>
      </c>
    </row>
    <row r="798" spans="1:11" s="47" customFormat="1" ht="12.6" customHeight="1" x14ac:dyDescent="0.3">
      <c r="A798" s="213" t="s">
        <v>57</v>
      </c>
      <c r="B798" s="213"/>
      <c r="C798" s="213"/>
      <c r="D798" s="213"/>
      <c r="E798" s="147"/>
      <c r="F798" s="106"/>
      <c r="G798" s="107">
        <f>SUM(G783:G797)</f>
        <v>46988.983350000002</v>
      </c>
      <c r="H798" s="107"/>
      <c r="I798" s="107"/>
      <c r="J798" s="107"/>
      <c r="K798" s="147"/>
    </row>
    <row r="799" spans="1:11" s="49" customFormat="1" ht="18" customHeight="1" x14ac:dyDescent="0.3">
      <c r="A799" s="214" t="s">
        <v>62</v>
      </c>
      <c r="B799" s="215"/>
      <c r="C799" s="215"/>
      <c r="D799" s="215"/>
      <c r="E799" s="147"/>
      <c r="F799" s="106"/>
      <c r="G799" s="106"/>
      <c r="H799" s="107">
        <f>SUM(H783:H797)</f>
        <v>33715.525300000001</v>
      </c>
      <c r="I799" s="107"/>
      <c r="J799" s="107"/>
      <c r="K799" s="147"/>
    </row>
    <row r="800" spans="1:11" s="49" customFormat="1" ht="13.2" customHeight="1" x14ac:dyDescent="0.3">
      <c r="A800" s="214" t="s">
        <v>19</v>
      </c>
      <c r="B800" s="215"/>
      <c r="C800" s="215"/>
      <c r="D800" s="215"/>
      <c r="E800" s="147"/>
      <c r="F800" s="106"/>
      <c r="G800" s="106"/>
      <c r="H800" s="107"/>
      <c r="I800" s="107">
        <f>SUM(I783:I797)</f>
        <v>46822.45867</v>
      </c>
      <c r="J800" s="107"/>
      <c r="K800" s="147"/>
    </row>
    <row r="801" spans="1:11" s="50" customFormat="1" ht="28.2" customHeight="1" x14ac:dyDescent="0.25">
      <c r="A801" s="104">
        <v>589</v>
      </c>
      <c r="B801" s="212" t="s">
        <v>894</v>
      </c>
      <c r="C801" s="148" t="s">
        <v>895</v>
      </c>
      <c r="D801" s="148" t="s">
        <v>49</v>
      </c>
      <c r="E801" s="148" t="s">
        <v>12</v>
      </c>
      <c r="F801" s="105">
        <v>1886.9433000000001</v>
      </c>
      <c r="G801" s="105">
        <v>0</v>
      </c>
      <c r="H801" s="105">
        <v>1886.9433000000001</v>
      </c>
      <c r="I801" s="105">
        <v>0</v>
      </c>
      <c r="J801" s="105">
        <v>0</v>
      </c>
      <c r="K801" s="148" t="s">
        <v>72</v>
      </c>
    </row>
    <row r="802" spans="1:11" s="50" customFormat="1" ht="28.2" customHeight="1" x14ac:dyDescent="0.25">
      <c r="A802" s="104">
        <f>A801+1</f>
        <v>590</v>
      </c>
      <c r="B802" s="212"/>
      <c r="C802" s="148" t="s">
        <v>896</v>
      </c>
      <c r="D802" s="148" t="s">
        <v>323</v>
      </c>
      <c r="E802" s="148" t="s">
        <v>12</v>
      </c>
      <c r="F802" s="105">
        <v>4146.2630499999996</v>
      </c>
      <c r="G802" s="105">
        <v>4146.2630499999996</v>
      </c>
      <c r="H802" s="105">
        <v>0</v>
      </c>
      <c r="I802" s="105">
        <v>0</v>
      </c>
      <c r="J802" s="105">
        <v>0</v>
      </c>
      <c r="K802" s="148" t="s">
        <v>72</v>
      </c>
    </row>
    <row r="803" spans="1:11" s="50" customFormat="1" ht="28.2" customHeight="1" x14ac:dyDescent="0.25">
      <c r="A803" s="104">
        <f t="shared" ref="A803:A814" si="26">A802+1</f>
        <v>591</v>
      </c>
      <c r="B803" s="212"/>
      <c r="C803" s="148" t="s">
        <v>897</v>
      </c>
      <c r="D803" s="148" t="s">
        <v>563</v>
      </c>
      <c r="E803" s="148" t="s">
        <v>12</v>
      </c>
      <c r="F803" s="105">
        <v>13876.49667</v>
      </c>
      <c r="G803" s="105">
        <v>13876.49667</v>
      </c>
      <c r="H803" s="105">
        <v>0</v>
      </c>
      <c r="I803" s="105">
        <v>0</v>
      </c>
      <c r="J803" s="105">
        <v>0</v>
      </c>
      <c r="K803" s="148" t="s">
        <v>72</v>
      </c>
    </row>
    <row r="804" spans="1:11" s="50" customFormat="1" ht="28.2" customHeight="1" x14ac:dyDescent="0.25">
      <c r="A804" s="104">
        <f t="shared" si="26"/>
        <v>592</v>
      </c>
      <c r="B804" s="212"/>
      <c r="C804" s="148" t="s">
        <v>898</v>
      </c>
      <c r="D804" s="148" t="s">
        <v>747</v>
      </c>
      <c r="E804" s="148" t="s">
        <v>12</v>
      </c>
      <c r="F804" s="105">
        <v>1999.1921599999998</v>
      </c>
      <c r="G804" s="105">
        <v>1999.1921599999998</v>
      </c>
      <c r="H804" s="105">
        <v>0</v>
      </c>
      <c r="I804" s="105">
        <v>0</v>
      </c>
      <c r="J804" s="105">
        <v>0</v>
      </c>
      <c r="K804" s="148" t="s">
        <v>72</v>
      </c>
    </row>
    <row r="805" spans="1:11" s="50" customFormat="1" ht="28.2" customHeight="1" x14ac:dyDescent="0.25">
      <c r="A805" s="104">
        <f t="shared" si="26"/>
        <v>593</v>
      </c>
      <c r="B805" s="212"/>
      <c r="C805" s="148" t="s">
        <v>899</v>
      </c>
      <c r="D805" s="148" t="s">
        <v>563</v>
      </c>
      <c r="E805" s="148" t="s">
        <v>12</v>
      </c>
      <c r="F805" s="105">
        <v>13876.49667</v>
      </c>
      <c r="G805" s="105">
        <v>13876.49667</v>
      </c>
      <c r="H805" s="105">
        <v>0</v>
      </c>
      <c r="I805" s="105">
        <v>0</v>
      </c>
      <c r="J805" s="105">
        <v>0</v>
      </c>
      <c r="K805" s="148" t="s">
        <v>72</v>
      </c>
    </row>
    <row r="806" spans="1:11" s="50" customFormat="1" ht="28.2" customHeight="1" x14ac:dyDescent="0.25">
      <c r="A806" s="104">
        <f t="shared" si="26"/>
        <v>594</v>
      </c>
      <c r="B806" s="212"/>
      <c r="C806" s="148" t="s">
        <v>900</v>
      </c>
      <c r="D806" s="148" t="s">
        <v>323</v>
      </c>
      <c r="E806" s="148" t="s">
        <v>12</v>
      </c>
      <c r="F806" s="105">
        <v>2299.3000000000002</v>
      </c>
      <c r="G806" s="105">
        <v>2299.3000000000002</v>
      </c>
      <c r="H806" s="105">
        <v>0</v>
      </c>
      <c r="I806" s="105">
        <v>0</v>
      </c>
      <c r="J806" s="105">
        <v>0</v>
      </c>
      <c r="K806" s="148" t="s">
        <v>72</v>
      </c>
    </row>
    <row r="807" spans="1:11" s="50" customFormat="1" ht="31.2" customHeight="1" x14ac:dyDescent="0.25">
      <c r="A807" s="104">
        <f t="shared" si="26"/>
        <v>595</v>
      </c>
      <c r="B807" s="212"/>
      <c r="C807" s="148" t="s">
        <v>901</v>
      </c>
      <c r="D807" s="148" t="s">
        <v>323</v>
      </c>
      <c r="E807" s="148" t="s">
        <v>12</v>
      </c>
      <c r="F807" s="105">
        <v>6592.2484400000003</v>
      </c>
      <c r="G807" s="105">
        <v>6592.2484400000003</v>
      </c>
      <c r="H807" s="105">
        <v>0</v>
      </c>
      <c r="I807" s="105">
        <v>0</v>
      </c>
      <c r="J807" s="105">
        <v>0</v>
      </c>
      <c r="K807" s="148" t="s">
        <v>72</v>
      </c>
    </row>
    <row r="808" spans="1:11" s="50" customFormat="1" ht="28.2" customHeight="1" x14ac:dyDescent="0.25">
      <c r="A808" s="104">
        <f t="shared" si="26"/>
        <v>596</v>
      </c>
      <c r="B808" s="212"/>
      <c r="C808" s="148" t="s">
        <v>902</v>
      </c>
      <c r="D808" s="148" t="s">
        <v>49</v>
      </c>
      <c r="E808" s="148" t="s">
        <v>12</v>
      </c>
      <c r="F808" s="105">
        <v>2017.1489999999999</v>
      </c>
      <c r="G808" s="105">
        <v>0</v>
      </c>
      <c r="H808" s="105">
        <v>0</v>
      </c>
      <c r="I808" s="105">
        <v>2017.1489999999999</v>
      </c>
      <c r="J808" s="105">
        <v>0</v>
      </c>
      <c r="K808" s="148" t="s">
        <v>316</v>
      </c>
    </row>
    <row r="809" spans="1:11" s="50" customFormat="1" ht="60" customHeight="1" x14ac:dyDescent="0.25">
      <c r="A809" s="104">
        <f t="shared" si="26"/>
        <v>597</v>
      </c>
      <c r="B809" s="212"/>
      <c r="C809" s="148" t="s">
        <v>903</v>
      </c>
      <c r="D809" s="148" t="s">
        <v>473</v>
      </c>
      <c r="E809" s="148" t="s">
        <v>12</v>
      </c>
      <c r="F809" s="105">
        <v>930.78440000000001</v>
      </c>
      <c r="G809" s="105">
        <v>0</v>
      </c>
      <c r="H809" s="105">
        <v>930.78440000000001</v>
      </c>
      <c r="I809" s="105">
        <v>0</v>
      </c>
      <c r="J809" s="105">
        <v>0</v>
      </c>
      <c r="K809" s="148" t="s">
        <v>316</v>
      </c>
    </row>
    <row r="810" spans="1:11" s="50" customFormat="1" ht="28.2" customHeight="1" x14ac:dyDescent="0.25">
      <c r="A810" s="104">
        <f t="shared" si="26"/>
        <v>598</v>
      </c>
      <c r="B810" s="212"/>
      <c r="C810" s="148" t="s">
        <v>904</v>
      </c>
      <c r="D810" s="148" t="s">
        <v>546</v>
      </c>
      <c r="E810" s="148" t="s">
        <v>12</v>
      </c>
      <c r="F810" s="105">
        <v>13037.81149</v>
      </c>
      <c r="G810" s="105">
        <v>0</v>
      </c>
      <c r="H810" s="105">
        <v>13037.81149</v>
      </c>
      <c r="I810" s="105">
        <v>0</v>
      </c>
      <c r="J810" s="105">
        <v>0</v>
      </c>
      <c r="K810" s="148" t="s">
        <v>316</v>
      </c>
    </row>
    <row r="811" spans="1:11" s="50" customFormat="1" ht="28.2" customHeight="1" x14ac:dyDescent="0.25">
      <c r="A811" s="104">
        <f t="shared" si="26"/>
        <v>599</v>
      </c>
      <c r="B811" s="212"/>
      <c r="C811" s="148" t="s">
        <v>905</v>
      </c>
      <c r="D811" s="148" t="s">
        <v>428</v>
      </c>
      <c r="E811" s="148" t="s">
        <v>12</v>
      </c>
      <c r="F811" s="105">
        <v>1878.9561999999999</v>
      </c>
      <c r="G811" s="105">
        <v>0</v>
      </c>
      <c r="H811" s="105">
        <v>1878.9561999999999</v>
      </c>
      <c r="I811" s="105">
        <v>0</v>
      </c>
      <c r="J811" s="105">
        <v>0</v>
      </c>
      <c r="K811" s="148" t="s">
        <v>316</v>
      </c>
    </row>
    <row r="812" spans="1:11" s="50" customFormat="1" ht="28.2" customHeight="1" x14ac:dyDescent="0.25">
      <c r="A812" s="104">
        <f t="shared" si="26"/>
        <v>600</v>
      </c>
      <c r="B812" s="212"/>
      <c r="C812" s="148" t="s">
        <v>906</v>
      </c>
      <c r="D812" s="148" t="s">
        <v>286</v>
      </c>
      <c r="E812" s="148" t="s">
        <v>12</v>
      </c>
      <c r="F812" s="105">
        <v>1567.35871</v>
      </c>
      <c r="G812" s="105">
        <v>0</v>
      </c>
      <c r="H812" s="105">
        <v>1567.35871</v>
      </c>
      <c r="I812" s="105">
        <v>0</v>
      </c>
      <c r="J812" s="105">
        <v>0</v>
      </c>
      <c r="K812" s="148" t="s">
        <v>316</v>
      </c>
    </row>
    <row r="813" spans="1:11" s="50" customFormat="1" ht="45" customHeight="1" x14ac:dyDescent="0.25">
      <c r="A813" s="104">
        <f t="shared" si="26"/>
        <v>601</v>
      </c>
      <c r="B813" s="212"/>
      <c r="C813" s="148" t="s">
        <v>907</v>
      </c>
      <c r="D813" s="148" t="s">
        <v>546</v>
      </c>
      <c r="E813" s="148" t="s">
        <v>12</v>
      </c>
      <c r="F813" s="105">
        <v>13037.81149</v>
      </c>
      <c r="G813" s="105">
        <v>0</v>
      </c>
      <c r="H813" s="105">
        <v>0</v>
      </c>
      <c r="I813" s="105">
        <v>13037.81149</v>
      </c>
      <c r="J813" s="105">
        <v>0</v>
      </c>
      <c r="K813" s="148" t="s">
        <v>359</v>
      </c>
    </row>
    <row r="814" spans="1:11" s="50" customFormat="1" ht="73.8" customHeight="1" x14ac:dyDescent="0.25">
      <c r="A814" s="104">
        <f t="shared" si="26"/>
        <v>602</v>
      </c>
      <c r="B814" s="212"/>
      <c r="C814" s="148" t="s">
        <v>908</v>
      </c>
      <c r="D814" s="148" t="s">
        <v>473</v>
      </c>
      <c r="E814" s="148" t="s">
        <v>12</v>
      </c>
      <c r="F814" s="105">
        <v>930.78440000000001</v>
      </c>
      <c r="G814" s="105">
        <v>0</v>
      </c>
      <c r="H814" s="105">
        <v>0</v>
      </c>
      <c r="I814" s="105">
        <v>930.78440000000001</v>
      </c>
      <c r="J814" s="105">
        <v>0</v>
      </c>
      <c r="K814" s="148" t="s">
        <v>359</v>
      </c>
    </row>
    <row r="815" spans="1:11" s="47" customFormat="1" ht="14.4" customHeight="1" x14ac:dyDescent="0.3">
      <c r="A815" s="213" t="s">
        <v>57</v>
      </c>
      <c r="B815" s="213"/>
      <c r="C815" s="213"/>
      <c r="D815" s="213"/>
      <c r="E815" s="147"/>
      <c r="F815" s="106"/>
      <c r="G815" s="107">
        <f>SUM(G801:G814)</f>
        <v>42789.996990000007</v>
      </c>
      <c r="H815" s="107"/>
      <c r="I815" s="107"/>
      <c r="J815" s="107"/>
      <c r="K815" s="147"/>
    </row>
    <row r="816" spans="1:11" s="49" customFormat="1" ht="19.2" customHeight="1" x14ac:dyDescent="0.3">
      <c r="A816" s="214" t="s">
        <v>62</v>
      </c>
      <c r="B816" s="215"/>
      <c r="C816" s="215"/>
      <c r="D816" s="215"/>
      <c r="E816" s="147"/>
      <c r="F816" s="106"/>
      <c r="G816" s="106"/>
      <c r="H816" s="107">
        <f>SUM(H801:H814)</f>
        <v>19301.8541</v>
      </c>
      <c r="I816" s="107"/>
      <c r="J816" s="107"/>
      <c r="K816" s="147"/>
    </row>
    <row r="817" spans="1:11" s="49" customFormat="1" ht="15" customHeight="1" x14ac:dyDescent="0.3">
      <c r="A817" s="214" t="s">
        <v>19</v>
      </c>
      <c r="B817" s="215"/>
      <c r="C817" s="215"/>
      <c r="D817" s="215"/>
      <c r="E817" s="147"/>
      <c r="F817" s="106"/>
      <c r="G817" s="106"/>
      <c r="H817" s="107"/>
      <c r="I817" s="107">
        <f>SUM(I801:I814)</f>
        <v>15985.74489</v>
      </c>
      <c r="J817" s="107"/>
      <c r="K817" s="147"/>
    </row>
    <row r="818" spans="1:11" s="50" customFormat="1" ht="54.6" customHeight="1" x14ac:dyDescent="0.25">
      <c r="A818" s="104">
        <v>603</v>
      </c>
      <c r="B818" s="212" t="s">
        <v>909</v>
      </c>
      <c r="C818" s="148" t="s">
        <v>910</v>
      </c>
      <c r="D818" s="148" t="s">
        <v>911</v>
      </c>
      <c r="E818" s="148" t="s">
        <v>12</v>
      </c>
      <c r="F818" s="105">
        <v>6440.5839999999998</v>
      </c>
      <c r="G818" s="105">
        <v>6440.5839999999998</v>
      </c>
      <c r="H818" s="105">
        <v>0</v>
      </c>
      <c r="I818" s="105">
        <v>0</v>
      </c>
      <c r="J818" s="105">
        <v>0</v>
      </c>
      <c r="K818" s="148" t="s">
        <v>72</v>
      </c>
    </row>
    <row r="819" spans="1:11" s="50" customFormat="1" ht="87" customHeight="1" x14ac:dyDescent="0.25">
      <c r="A819" s="104">
        <f>A818+1</f>
        <v>604</v>
      </c>
      <c r="B819" s="212"/>
      <c r="C819" s="148" t="s">
        <v>912</v>
      </c>
      <c r="D819" s="148" t="s">
        <v>833</v>
      </c>
      <c r="E819" s="148" t="s">
        <v>12</v>
      </c>
      <c r="F819" s="105">
        <v>1200</v>
      </c>
      <c r="G819" s="105">
        <v>1200</v>
      </c>
      <c r="H819" s="105">
        <v>0</v>
      </c>
      <c r="I819" s="105">
        <v>0</v>
      </c>
      <c r="J819" s="105">
        <v>0</v>
      </c>
      <c r="K819" s="148" t="s">
        <v>72</v>
      </c>
    </row>
    <row r="820" spans="1:11" s="50" customFormat="1" ht="28.95" customHeight="1" x14ac:dyDescent="0.25">
      <c r="A820" s="104">
        <f t="shared" ref="A820:A826" si="27">A819+1</f>
        <v>605</v>
      </c>
      <c r="B820" s="212"/>
      <c r="C820" s="148" t="s">
        <v>913</v>
      </c>
      <c r="D820" s="148" t="s">
        <v>914</v>
      </c>
      <c r="E820" s="148" t="s">
        <v>12</v>
      </c>
      <c r="F820" s="105">
        <v>236.92</v>
      </c>
      <c r="G820" s="105">
        <v>236.92</v>
      </c>
      <c r="H820" s="105">
        <v>0</v>
      </c>
      <c r="I820" s="105">
        <v>0</v>
      </c>
      <c r="J820" s="105">
        <v>0</v>
      </c>
      <c r="K820" s="148" t="s">
        <v>72</v>
      </c>
    </row>
    <row r="821" spans="1:11" s="50" customFormat="1" ht="27.6" customHeight="1" x14ac:dyDescent="0.25">
      <c r="A821" s="104">
        <f t="shared" si="27"/>
        <v>606</v>
      </c>
      <c r="B821" s="212"/>
      <c r="C821" s="148" t="s">
        <v>915</v>
      </c>
      <c r="D821" s="148" t="s">
        <v>295</v>
      </c>
      <c r="E821" s="148" t="s">
        <v>12</v>
      </c>
      <c r="F821" s="105">
        <v>407.2</v>
      </c>
      <c r="G821" s="105">
        <v>407.2</v>
      </c>
      <c r="H821" s="105">
        <v>0</v>
      </c>
      <c r="I821" s="105">
        <v>0</v>
      </c>
      <c r="J821" s="105">
        <v>0</v>
      </c>
      <c r="K821" s="148" t="s">
        <v>72</v>
      </c>
    </row>
    <row r="822" spans="1:11" s="50" customFormat="1" ht="40.200000000000003" customHeight="1" x14ac:dyDescent="0.25">
      <c r="A822" s="104">
        <f t="shared" si="27"/>
        <v>607</v>
      </c>
      <c r="B822" s="212"/>
      <c r="C822" s="148" t="s">
        <v>916</v>
      </c>
      <c r="D822" s="148" t="s">
        <v>917</v>
      </c>
      <c r="E822" s="148" t="s">
        <v>12</v>
      </c>
      <c r="F822" s="105">
        <v>139.58000000000001</v>
      </c>
      <c r="G822" s="105">
        <v>139.58000000000001</v>
      </c>
      <c r="H822" s="105">
        <v>0</v>
      </c>
      <c r="I822" s="105">
        <v>0</v>
      </c>
      <c r="J822" s="105">
        <v>0</v>
      </c>
      <c r="K822" s="148" t="s">
        <v>72</v>
      </c>
    </row>
    <row r="823" spans="1:11" s="50" customFormat="1" ht="27.6" customHeight="1" x14ac:dyDescent="0.25">
      <c r="A823" s="104">
        <f t="shared" si="27"/>
        <v>608</v>
      </c>
      <c r="B823" s="212"/>
      <c r="C823" s="148" t="s">
        <v>918</v>
      </c>
      <c r="D823" s="148" t="s">
        <v>235</v>
      </c>
      <c r="E823" s="148" t="s">
        <v>12</v>
      </c>
      <c r="F823" s="105">
        <v>870.65</v>
      </c>
      <c r="G823" s="105">
        <v>870.65</v>
      </c>
      <c r="H823" s="105">
        <v>0</v>
      </c>
      <c r="I823" s="105">
        <v>0</v>
      </c>
      <c r="J823" s="105">
        <v>0</v>
      </c>
      <c r="K823" s="148" t="s">
        <v>72</v>
      </c>
    </row>
    <row r="824" spans="1:11" s="50" customFormat="1" ht="27.6" customHeight="1" x14ac:dyDescent="0.25">
      <c r="A824" s="104">
        <f t="shared" si="27"/>
        <v>609</v>
      </c>
      <c r="B824" s="212"/>
      <c r="C824" s="148" t="s">
        <v>919</v>
      </c>
      <c r="D824" s="148" t="s">
        <v>243</v>
      </c>
      <c r="E824" s="148" t="s">
        <v>12</v>
      </c>
      <c r="F824" s="105">
        <v>291.5</v>
      </c>
      <c r="G824" s="105">
        <v>291.5</v>
      </c>
      <c r="H824" s="105">
        <v>0</v>
      </c>
      <c r="I824" s="105">
        <v>0</v>
      </c>
      <c r="J824" s="105">
        <v>0</v>
      </c>
      <c r="K824" s="148" t="s">
        <v>72</v>
      </c>
    </row>
    <row r="825" spans="1:11" s="50" customFormat="1" ht="27.6" customHeight="1" x14ac:dyDescent="0.25">
      <c r="A825" s="104">
        <f t="shared" si="27"/>
        <v>610</v>
      </c>
      <c r="B825" s="212"/>
      <c r="C825" s="148" t="s">
        <v>920</v>
      </c>
      <c r="D825" s="148" t="s">
        <v>921</v>
      </c>
      <c r="E825" s="148" t="s">
        <v>12</v>
      </c>
      <c r="F825" s="105">
        <v>6440.5839999999998</v>
      </c>
      <c r="G825" s="105">
        <v>0</v>
      </c>
      <c r="H825" s="105">
        <v>6440.5839999999998</v>
      </c>
      <c r="I825" s="105">
        <v>0</v>
      </c>
      <c r="J825" s="105">
        <v>0</v>
      </c>
      <c r="K825" s="148" t="s">
        <v>529</v>
      </c>
    </row>
    <row r="826" spans="1:11" s="50" customFormat="1" ht="27.6" customHeight="1" x14ac:dyDescent="0.25">
      <c r="A826" s="104">
        <f t="shared" si="27"/>
        <v>611</v>
      </c>
      <c r="B826" s="212"/>
      <c r="C826" s="148" t="s">
        <v>922</v>
      </c>
      <c r="D826" s="148" t="s">
        <v>456</v>
      </c>
      <c r="E826" s="148" t="s">
        <v>12</v>
      </c>
      <c r="F826" s="105">
        <v>2101.4379700000004</v>
      </c>
      <c r="G826" s="105">
        <v>0</v>
      </c>
      <c r="H826" s="105">
        <v>2101.4379700000004</v>
      </c>
      <c r="I826" s="105">
        <v>0</v>
      </c>
      <c r="J826" s="105">
        <v>0</v>
      </c>
      <c r="K826" s="148" t="s">
        <v>529</v>
      </c>
    </row>
    <row r="827" spans="1:11" s="47" customFormat="1" ht="12.6" customHeight="1" x14ac:dyDescent="0.3">
      <c r="A827" s="213" t="s">
        <v>57</v>
      </c>
      <c r="B827" s="213"/>
      <c r="C827" s="213"/>
      <c r="D827" s="213"/>
      <c r="E827" s="147"/>
      <c r="F827" s="106"/>
      <c r="G827" s="107">
        <f>SUM(G818:G826)</f>
        <v>9586.4339999999993</v>
      </c>
      <c r="H827" s="107"/>
      <c r="I827" s="107"/>
      <c r="J827" s="107"/>
      <c r="K827" s="147"/>
    </row>
    <row r="828" spans="1:11" s="49" customFormat="1" ht="17.399999999999999" customHeight="1" x14ac:dyDescent="0.3">
      <c r="A828" s="214" t="s">
        <v>62</v>
      </c>
      <c r="B828" s="215"/>
      <c r="C828" s="215"/>
      <c r="D828" s="215"/>
      <c r="E828" s="147"/>
      <c r="F828" s="106"/>
      <c r="G828" s="106"/>
      <c r="H828" s="107">
        <f>SUM(H818:H826)</f>
        <v>8542.0219699999998</v>
      </c>
      <c r="I828" s="107"/>
      <c r="J828" s="107"/>
      <c r="K828" s="147"/>
    </row>
    <row r="829" spans="1:11" s="49" customFormat="1" ht="14.4" customHeight="1" x14ac:dyDescent="0.3">
      <c r="A829" s="214" t="s">
        <v>19</v>
      </c>
      <c r="B829" s="215"/>
      <c r="C829" s="215"/>
      <c r="D829" s="215"/>
      <c r="E829" s="147"/>
      <c r="F829" s="106"/>
      <c r="G829" s="106"/>
      <c r="H829" s="107"/>
      <c r="I829" s="107">
        <f>SUM(I818:I826)</f>
        <v>0</v>
      </c>
      <c r="J829" s="107"/>
      <c r="K829" s="147"/>
    </row>
    <row r="830" spans="1:11" s="50" customFormat="1" ht="27" customHeight="1" x14ac:dyDescent="0.25">
      <c r="A830" s="104">
        <v>612</v>
      </c>
      <c r="B830" s="212" t="s">
        <v>923</v>
      </c>
      <c r="C830" s="148" t="s">
        <v>924</v>
      </c>
      <c r="D830" s="148" t="s">
        <v>682</v>
      </c>
      <c r="E830" s="148" t="s">
        <v>12</v>
      </c>
      <c r="F830" s="105">
        <v>400</v>
      </c>
      <c r="G830" s="105">
        <v>400</v>
      </c>
      <c r="H830" s="105">
        <v>0</v>
      </c>
      <c r="I830" s="105">
        <v>0</v>
      </c>
      <c r="J830" s="105">
        <v>0</v>
      </c>
      <c r="K830" s="148" t="s">
        <v>76</v>
      </c>
    </row>
    <row r="831" spans="1:11" s="50" customFormat="1" ht="36.6" customHeight="1" x14ac:dyDescent="0.25">
      <c r="A831" s="104">
        <f>A830+1</f>
        <v>613</v>
      </c>
      <c r="B831" s="212"/>
      <c r="C831" s="148" t="s">
        <v>925</v>
      </c>
      <c r="D831" s="148" t="s">
        <v>394</v>
      </c>
      <c r="E831" s="148" t="s">
        <v>12</v>
      </c>
      <c r="F831" s="105">
        <v>1883.8623</v>
      </c>
      <c r="G831" s="105">
        <v>1883.8623</v>
      </c>
      <c r="H831" s="105">
        <v>0</v>
      </c>
      <c r="I831" s="105">
        <v>0</v>
      </c>
      <c r="J831" s="105">
        <v>0</v>
      </c>
      <c r="K831" s="148" t="s">
        <v>76</v>
      </c>
    </row>
    <row r="832" spans="1:11" s="50" customFormat="1" ht="37.200000000000003" customHeight="1" x14ac:dyDescent="0.25">
      <c r="A832" s="104">
        <f t="shared" ref="A832:A843" si="28">A831+1</f>
        <v>614</v>
      </c>
      <c r="B832" s="212"/>
      <c r="C832" s="148" t="s">
        <v>926</v>
      </c>
      <c r="D832" s="148" t="s">
        <v>235</v>
      </c>
      <c r="E832" s="148" t="s">
        <v>12</v>
      </c>
      <c r="F832" s="105">
        <v>4021.43</v>
      </c>
      <c r="G832" s="105">
        <v>1934.03</v>
      </c>
      <c r="H832" s="105">
        <v>2087.4</v>
      </c>
      <c r="I832" s="105">
        <v>0</v>
      </c>
      <c r="J832" s="105">
        <v>0</v>
      </c>
      <c r="K832" s="148" t="s">
        <v>76</v>
      </c>
    </row>
    <row r="833" spans="1:11" s="50" customFormat="1" ht="34.200000000000003" customHeight="1" x14ac:dyDescent="0.25">
      <c r="A833" s="104">
        <f t="shared" si="28"/>
        <v>615</v>
      </c>
      <c r="B833" s="212"/>
      <c r="C833" s="148" t="s">
        <v>927</v>
      </c>
      <c r="D833" s="148" t="s">
        <v>394</v>
      </c>
      <c r="E833" s="148" t="s">
        <v>12</v>
      </c>
      <c r="F833" s="105">
        <v>17769.271670000002</v>
      </c>
      <c r="G833" s="105">
        <v>17769.271670000002</v>
      </c>
      <c r="H833" s="105">
        <v>0</v>
      </c>
      <c r="I833" s="105">
        <v>0</v>
      </c>
      <c r="J833" s="105">
        <v>0</v>
      </c>
      <c r="K833" s="148" t="s">
        <v>76</v>
      </c>
    </row>
    <row r="834" spans="1:11" s="50" customFormat="1" ht="51" customHeight="1" x14ac:dyDescent="0.25">
      <c r="A834" s="104">
        <f t="shared" si="28"/>
        <v>616</v>
      </c>
      <c r="B834" s="212"/>
      <c r="C834" s="148" t="s">
        <v>928</v>
      </c>
      <c r="D834" s="148" t="s">
        <v>929</v>
      </c>
      <c r="E834" s="148" t="s">
        <v>12</v>
      </c>
      <c r="F834" s="105">
        <v>385.2</v>
      </c>
      <c r="G834" s="105">
        <v>385.2</v>
      </c>
      <c r="H834" s="105">
        <v>0</v>
      </c>
      <c r="I834" s="105">
        <v>0</v>
      </c>
      <c r="J834" s="105">
        <v>0</v>
      </c>
      <c r="K834" s="148" t="s">
        <v>76</v>
      </c>
    </row>
    <row r="835" spans="1:11" s="50" customFormat="1" ht="51.6" customHeight="1" x14ac:dyDescent="0.25">
      <c r="A835" s="104">
        <f t="shared" si="28"/>
        <v>617</v>
      </c>
      <c r="B835" s="212"/>
      <c r="C835" s="148" t="s">
        <v>930</v>
      </c>
      <c r="D835" s="148" t="s">
        <v>630</v>
      </c>
      <c r="E835" s="148" t="s">
        <v>12</v>
      </c>
      <c r="F835" s="105">
        <v>1250</v>
      </c>
      <c r="G835" s="105">
        <v>1250</v>
      </c>
      <c r="H835" s="105">
        <v>0</v>
      </c>
      <c r="I835" s="105">
        <v>0</v>
      </c>
      <c r="J835" s="105">
        <v>0</v>
      </c>
      <c r="K835" s="148" t="s">
        <v>76</v>
      </c>
    </row>
    <row r="836" spans="1:11" s="50" customFormat="1" ht="33.6" customHeight="1" x14ac:dyDescent="0.25">
      <c r="A836" s="104">
        <f t="shared" si="28"/>
        <v>618</v>
      </c>
      <c r="B836" s="212"/>
      <c r="C836" s="148" t="s">
        <v>931</v>
      </c>
      <c r="D836" s="148" t="s">
        <v>369</v>
      </c>
      <c r="E836" s="148" t="s">
        <v>12</v>
      </c>
      <c r="F836" s="105">
        <v>569.16</v>
      </c>
      <c r="G836" s="105">
        <v>569.16</v>
      </c>
      <c r="H836" s="105">
        <v>0</v>
      </c>
      <c r="I836" s="105">
        <v>0</v>
      </c>
      <c r="J836" s="105">
        <v>0</v>
      </c>
      <c r="K836" s="148" t="s">
        <v>76</v>
      </c>
    </row>
    <row r="837" spans="1:11" s="50" customFormat="1" ht="40.200000000000003" customHeight="1" x14ac:dyDescent="0.25">
      <c r="A837" s="104">
        <f t="shared" si="28"/>
        <v>619</v>
      </c>
      <c r="B837" s="212"/>
      <c r="C837" s="148" t="s">
        <v>932</v>
      </c>
      <c r="D837" s="148" t="s">
        <v>933</v>
      </c>
      <c r="E837" s="148" t="s">
        <v>12</v>
      </c>
      <c r="F837" s="105">
        <v>9264.5149999999994</v>
      </c>
      <c r="G837" s="105">
        <v>9264.5149999999994</v>
      </c>
      <c r="H837" s="105">
        <v>0</v>
      </c>
      <c r="I837" s="105">
        <v>0</v>
      </c>
      <c r="J837" s="105">
        <v>0</v>
      </c>
      <c r="K837" s="148" t="s">
        <v>76</v>
      </c>
    </row>
    <row r="838" spans="1:11" s="50" customFormat="1" ht="27" customHeight="1" x14ac:dyDescent="0.25">
      <c r="A838" s="104">
        <f t="shared" si="28"/>
        <v>620</v>
      </c>
      <c r="B838" s="212"/>
      <c r="C838" s="148" t="s">
        <v>934</v>
      </c>
      <c r="D838" s="148" t="s">
        <v>49</v>
      </c>
      <c r="E838" s="148" t="s">
        <v>12</v>
      </c>
      <c r="F838" s="105">
        <v>2651.6442700000002</v>
      </c>
      <c r="G838" s="105">
        <v>0</v>
      </c>
      <c r="H838" s="105">
        <v>2651.6442700000002</v>
      </c>
      <c r="I838" s="105">
        <v>0</v>
      </c>
      <c r="J838" s="105">
        <v>0</v>
      </c>
      <c r="K838" s="148" t="s">
        <v>316</v>
      </c>
    </row>
    <row r="839" spans="1:11" s="50" customFormat="1" ht="27" customHeight="1" x14ac:dyDescent="0.25">
      <c r="A839" s="104">
        <f t="shared" si="28"/>
        <v>621</v>
      </c>
      <c r="B839" s="212"/>
      <c r="C839" s="148" t="s">
        <v>935</v>
      </c>
      <c r="D839" s="148" t="s">
        <v>243</v>
      </c>
      <c r="E839" s="148" t="s">
        <v>12</v>
      </c>
      <c r="F839" s="105">
        <v>12094.127</v>
      </c>
      <c r="G839" s="105">
        <v>0</v>
      </c>
      <c r="H839" s="105">
        <v>12094.127</v>
      </c>
      <c r="I839" s="105">
        <v>0</v>
      </c>
      <c r="J839" s="105">
        <v>0</v>
      </c>
      <c r="K839" s="148" t="s">
        <v>316</v>
      </c>
    </row>
    <row r="840" spans="1:11" s="50" customFormat="1" ht="27" customHeight="1" x14ac:dyDescent="0.25">
      <c r="A840" s="104">
        <f t="shared" si="28"/>
        <v>622</v>
      </c>
      <c r="B840" s="212"/>
      <c r="C840" s="148" t="s">
        <v>936</v>
      </c>
      <c r="D840" s="148" t="s">
        <v>411</v>
      </c>
      <c r="E840" s="148" t="s">
        <v>12</v>
      </c>
      <c r="F840" s="105">
        <v>11224.132300000001</v>
      </c>
      <c r="G840" s="105">
        <v>0</v>
      </c>
      <c r="H840" s="105">
        <v>11224.132300000001</v>
      </c>
      <c r="I840" s="105">
        <v>0</v>
      </c>
      <c r="J840" s="105">
        <v>0</v>
      </c>
      <c r="K840" s="148" t="s">
        <v>316</v>
      </c>
    </row>
    <row r="841" spans="1:11" s="50" customFormat="1" ht="27" customHeight="1" x14ac:dyDescent="0.25">
      <c r="A841" s="104">
        <f t="shared" si="28"/>
        <v>623</v>
      </c>
      <c r="B841" s="212"/>
      <c r="C841" s="148" t="s">
        <v>937</v>
      </c>
      <c r="D841" s="148" t="s">
        <v>49</v>
      </c>
      <c r="E841" s="148" t="s">
        <v>12</v>
      </c>
      <c r="F841" s="105">
        <v>2651.6442700000002</v>
      </c>
      <c r="G841" s="105">
        <v>0</v>
      </c>
      <c r="H841" s="105">
        <v>0</v>
      </c>
      <c r="I841" s="105">
        <v>2651.6442700000002</v>
      </c>
      <c r="J841" s="105">
        <v>0</v>
      </c>
      <c r="K841" s="148" t="s">
        <v>318</v>
      </c>
    </row>
    <row r="842" spans="1:11" s="50" customFormat="1" ht="27" customHeight="1" x14ac:dyDescent="0.25">
      <c r="A842" s="104">
        <f t="shared" si="28"/>
        <v>624</v>
      </c>
      <c r="B842" s="212"/>
      <c r="C842" s="148" t="s">
        <v>938</v>
      </c>
      <c r="D842" s="148" t="s">
        <v>243</v>
      </c>
      <c r="E842" s="148" t="s">
        <v>12</v>
      </c>
      <c r="F842" s="105">
        <v>14181.527</v>
      </c>
      <c r="G842" s="105">
        <v>0</v>
      </c>
      <c r="H842" s="105">
        <v>0</v>
      </c>
      <c r="I842" s="105">
        <v>14181.527</v>
      </c>
      <c r="J842" s="105">
        <v>0</v>
      </c>
      <c r="K842" s="148" t="s">
        <v>318</v>
      </c>
    </row>
    <row r="843" spans="1:11" s="50" customFormat="1" ht="27" customHeight="1" x14ac:dyDescent="0.25">
      <c r="A843" s="104">
        <f t="shared" si="28"/>
        <v>625</v>
      </c>
      <c r="B843" s="212"/>
      <c r="C843" s="148" t="s">
        <v>939</v>
      </c>
      <c r="D843" s="148" t="s">
        <v>411</v>
      </c>
      <c r="E843" s="148" t="s">
        <v>12</v>
      </c>
      <c r="F843" s="105">
        <v>11224.132300000001</v>
      </c>
      <c r="G843" s="105">
        <v>0</v>
      </c>
      <c r="H843" s="105">
        <v>0</v>
      </c>
      <c r="I843" s="105">
        <v>11224.132300000001</v>
      </c>
      <c r="J843" s="105">
        <v>0</v>
      </c>
      <c r="K843" s="148" t="s">
        <v>318</v>
      </c>
    </row>
    <row r="844" spans="1:11" s="47" customFormat="1" ht="14.4" customHeight="1" x14ac:dyDescent="0.3">
      <c r="A844" s="213" t="s">
        <v>57</v>
      </c>
      <c r="B844" s="213"/>
      <c r="C844" s="213"/>
      <c r="D844" s="213"/>
      <c r="E844" s="147"/>
      <c r="F844" s="106"/>
      <c r="G844" s="107">
        <f>SUM(G830:G843)</f>
        <v>33456.038970000001</v>
      </c>
      <c r="H844" s="107"/>
      <c r="I844" s="107"/>
      <c r="J844" s="107"/>
      <c r="K844" s="147"/>
    </row>
    <row r="845" spans="1:11" s="49" customFormat="1" ht="16.95" customHeight="1" x14ac:dyDescent="0.3">
      <c r="A845" s="214" t="s">
        <v>62</v>
      </c>
      <c r="B845" s="215"/>
      <c r="C845" s="215"/>
      <c r="D845" s="215"/>
      <c r="E845" s="147"/>
      <c r="F845" s="106"/>
      <c r="G845" s="106"/>
      <c r="H845" s="107">
        <f>SUM(H830:H843)</f>
        <v>28057.30357</v>
      </c>
      <c r="I845" s="107"/>
      <c r="J845" s="107"/>
      <c r="K845" s="147"/>
    </row>
    <row r="846" spans="1:11" s="49" customFormat="1" ht="16.2" customHeight="1" x14ac:dyDescent="0.3">
      <c r="A846" s="214" t="s">
        <v>19</v>
      </c>
      <c r="B846" s="215"/>
      <c r="C846" s="215"/>
      <c r="D846" s="215"/>
      <c r="E846" s="147"/>
      <c r="F846" s="106"/>
      <c r="G846" s="106"/>
      <c r="H846" s="107"/>
      <c r="I846" s="107">
        <f>SUM(I830:I843)</f>
        <v>28057.30357</v>
      </c>
      <c r="J846" s="107"/>
      <c r="K846" s="147"/>
    </row>
    <row r="847" spans="1:11" s="50" customFormat="1" ht="29.4" customHeight="1" x14ac:dyDescent="0.25">
      <c r="A847" s="104">
        <v>626</v>
      </c>
      <c r="B847" s="212" t="s">
        <v>940</v>
      </c>
      <c r="C847" s="148" t="s">
        <v>941</v>
      </c>
      <c r="D847" s="148" t="s">
        <v>747</v>
      </c>
      <c r="E847" s="148" t="s">
        <v>12</v>
      </c>
      <c r="F847" s="105">
        <v>490.7</v>
      </c>
      <c r="G847" s="105">
        <v>490.7</v>
      </c>
      <c r="H847" s="105">
        <v>0</v>
      </c>
      <c r="I847" s="105">
        <v>0</v>
      </c>
      <c r="J847" s="105">
        <v>0</v>
      </c>
      <c r="K847" s="148" t="s">
        <v>76</v>
      </c>
    </row>
    <row r="848" spans="1:11" s="50" customFormat="1" ht="29.4" customHeight="1" x14ac:dyDescent="0.25">
      <c r="A848" s="104">
        <f>A847+1</f>
        <v>627</v>
      </c>
      <c r="B848" s="212"/>
      <c r="C848" s="148" t="s">
        <v>942</v>
      </c>
      <c r="D848" s="148" t="s">
        <v>286</v>
      </c>
      <c r="E848" s="148" t="s">
        <v>12</v>
      </c>
      <c r="F848" s="105">
        <v>1118.71</v>
      </c>
      <c r="G848" s="105">
        <v>1118.71</v>
      </c>
      <c r="H848" s="105">
        <v>0</v>
      </c>
      <c r="I848" s="105">
        <v>0</v>
      </c>
      <c r="J848" s="105">
        <v>0</v>
      </c>
      <c r="K848" s="148" t="s">
        <v>76</v>
      </c>
    </row>
    <row r="849" spans="1:11" s="50" customFormat="1" ht="29.4" customHeight="1" x14ac:dyDescent="0.25">
      <c r="A849" s="104">
        <f t="shared" ref="A849:A871" si="29">A848+1</f>
        <v>628</v>
      </c>
      <c r="B849" s="212"/>
      <c r="C849" s="148" t="s">
        <v>943</v>
      </c>
      <c r="D849" s="148" t="s">
        <v>286</v>
      </c>
      <c r="E849" s="148" t="s">
        <v>12</v>
      </c>
      <c r="F849" s="105">
        <v>1424.13</v>
      </c>
      <c r="G849" s="105">
        <v>1424.13</v>
      </c>
      <c r="H849" s="105">
        <v>0</v>
      </c>
      <c r="I849" s="105">
        <v>0</v>
      </c>
      <c r="J849" s="105">
        <v>0</v>
      </c>
      <c r="K849" s="148" t="s">
        <v>76</v>
      </c>
    </row>
    <row r="850" spans="1:11" s="50" customFormat="1" ht="29.4" customHeight="1" x14ac:dyDescent="0.25">
      <c r="A850" s="104">
        <f t="shared" si="29"/>
        <v>629</v>
      </c>
      <c r="B850" s="212"/>
      <c r="C850" s="148" t="s">
        <v>944</v>
      </c>
      <c r="D850" s="148" t="s">
        <v>286</v>
      </c>
      <c r="E850" s="148" t="s">
        <v>12</v>
      </c>
      <c r="F850" s="105">
        <v>187.7</v>
      </c>
      <c r="G850" s="105">
        <v>187.7</v>
      </c>
      <c r="H850" s="105">
        <v>0</v>
      </c>
      <c r="I850" s="105">
        <v>0</v>
      </c>
      <c r="J850" s="105">
        <v>0</v>
      </c>
      <c r="K850" s="148" t="s">
        <v>76</v>
      </c>
    </row>
    <row r="851" spans="1:11" s="50" customFormat="1" ht="41.4" customHeight="1" x14ac:dyDescent="0.25">
      <c r="A851" s="104">
        <f t="shared" si="29"/>
        <v>630</v>
      </c>
      <c r="B851" s="212"/>
      <c r="C851" s="148" t="s">
        <v>945</v>
      </c>
      <c r="D851" s="148" t="s">
        <v>286</v>
      </c>
      <c r="E851" s="148" t="s">
        <v>12</v>
      </c>
      <c r="F851" s="105">
        <v>750</v>
      </c>
      <c r="G851" s="105">
        <v>750</v>
      </c>
      <c r="H851" s="105">
        <v>0</v>
      </c>
      <c r="I851" s="105">
        <v>0</v>
      </c>
      <c r="J851" s="105">
        <v>0</v>
      </c>
      <c r="K851" s="148" t="s">
        <v>76</v>
      </c>
    </row>
    <row r="852" spans="1:11" s="50" customFormat="1" ht="64.8" customHeight="1" x14ac:dyDescent="0.25">
      <c r="A852" s="104">
        <f t="shared" si="29"/>
        <v>631</v>
      </c>
      <c r="B852" s="212"/>
      <c r="C852" s="148" t="s">
        <v>946</v>
      </c>
      <c r="D852" s="148" t="s">
        <v>93</v>
      </c>
      <c r="E852" s="148" t="s">
        <v>12</v>
      </c>
      <c r="F852" s="105">
        <v>1703.335</v>
      </c>
      <c r="G852" s="105">
        <v>1703.335</v>
      </c>
      <c r="H852" s="105">
        <v>0</v>
      </c>
      <c r="I852" s="105">
        <v>0</v>
      </c>
      <c r="J852" s="105">
        <v>0</v>
      </c>
      <c r="K852" s="148" t="s">
        <v>76</v>
      </c>
    </row>
    <row r="853" spans="1:11" s="50" customFormat="1" ht="66.599999999999994" customHeight="1" x14ac:dyDescent="0.25">
      <c r="A853" s="104">
        <f t="shared" si="29"/>
        <v>632</v>
      </c>
      <c r="B853" s="212"/>
      <c r="C853" s="148" t="s">
        <v>947</v>
      </c>
      <c r="D853" s="148" t="s">
        <v>948</v>
      </c>
      <c r="E853" s="148" t="s">
        <v>12</v>
      </c>
      <c r="F853" s="105">
        <v>461.08199999999999</v>
      </c>
      <c r="G853" s="105">
        <v>461.08199999999999</v>
      </c>
      <c r="H853" s="105">
        <v>0</v>
      </c>
      <c r="I853" s="105">
        <v>0</v>
      </c>
      <c r="J853" s="105">
        <v>0</v>
      </c>
      <c r="K853" s="148" t="s">
        <v>76</v>
      </c>
    </row>
    <row r="854" spans="1:11" s="50" customFormat="1" ht="39" customHeight="1" x14ac:dyDescent="0.25">
      <c r="A854" s="104">
        <f t="shared" si="29"/>
        <v>633</v>
      </c>
      <c r="B854" s="212"/>
      <c r="C854" s="148" t="s">
        <v>949</v>
      </c>
      <c r="D854" s="148" t="s">
        <v>229</v>
      </c>
      <c r="E854" s="148" t="s">
        <v>12</v>
      </c>
      <c r="F854" s="105">
        <v>956.47619999999995</v>
      </c>
      <c r="G854" s="105">
        <v>956.47619999999995</v>
      </c>
      <c r="H854" s="105">
        <v>0</v>
      </c>
      <c r="I854" s="105">
        <v>0</v>
      </c>
      <c r="J854" s="105">
        <v>0</v>
      </c>
      <c r="K854" s="148" t="s">
        <v>76</v>
      </c>
    </row>
    <row r="855" spans="1:11" s="50" customFormat="1" ht="40.799999999999997" customHeight="1" x14ac:dyDescent="0.25">
      <c r="A855" s="104">
        <f t="shared" si="29"/>
        <v>634</v>
      </c>
      <c r="B855" s="212"/>
      <c r="C855" s="148" t="s">
        <v>950</v>
      </c>
      <c r="D855" s="148" t="s">
        <v>290</v>
      </c>
      <c r="E855" s="148" t="s">
        <v>12</v>
      </c>
      <c r="F855" s="105">
        <v>9478.3020299999989</v>
      </c>
      <c r="G855" s="105">
        <v>9478.3020299999989</v>
      </c>
      <c r="H855" s="105">
        <v>0</v>
      </c>
      <c r="I855" s="105">
        <v>0</v>
      </c>
      <c r="J855" s="105">
        <v>0</v>
      </c>
      <c r="K855" s="148" t="s">
        <v>76</v>
      </c>
    </row>
    <row r="856" spans="1:11" s="50" customFormat="1" ht="88.2" customHeight="1" x14ac:dyDescent="0.25">
      <c r="A856" s="104">
        <f t="shared" si="29"/>
        <v>635</v>
      </c>
      <c r="B856" s="212"/>
      <c r="C856" s="148" t="s">
        <v>951</v>
      </c>
      <c r="D856" s="148" t="s">
        <v>833</v>
      </c>
      <c r="E856" s="148" t="s">
        <v>12</v>
      </c>
      <c r="F856" s="105">
        <v>1980</v>
      </c>
      <c r="G856" s="105">
        <v>1980</v>
      </c>
      <c r="H856" s="105">
        <v>0</v>
      </c>
      <c r="I856" s="105">
        <v>0</v>
      </c>
      <c r="J856" s="105">
        <v>0</v>
      </c>
      <c r="K856" s="148" t="s">
        <v>76</v>
      </c>
    </row>
    <row r="857" spans="1:11" s="50" customFormat="1" ht="69.599999999999994" customHeight="1" x14ac:dyDescent="0.25">
      <c r="A857" s="104">
        <f t="shared" si="29"/>
        <v>636</v>
      </c>
      <c r="B857" s="212"/>
      <c r="C857" s="148" t="s">
        <v>952</v>
      </c>
      <c r="D857" s="148" t="s">
        <v>953</v>
      </c>
      <c r="E857" s="148" t="s">
        <v>12</v>
      </c>
      <c r="F857" s="105">
        <v>2650</v>
      </c>
      <c r="G857" s="105">
        <v>2650</v>
      </c>
      <c r="H857" s="105">
        <v>0</v>
      </c>
      <c r="I857" s="105">
        <v>0</v>
      </c>
      <c r="J857" s="105">
        <v>0</v>
      </c>
      <c r="K857" s="148" t="s">
        <v>76</v>
      </c>
    </row>
    <row r="858" spans="1:11" s="50" customFormat="1" ht="42" customHeight="1" x14ac:dyDescent="0.25">
      <c r="A858" s="104">
        <f t="shared" si="29"/>
        <v>637</v>
      </c>
      <c r="B858" s="212"/>
      <c r="C858" s="148" t="s">
        <v>954</v>
      </c>
      <c r="D858" s="148" t="s">
        <v>243</v>
      </c>
      <c r="E858" s="148" t="s">
        <v>12</v>
      </c>
      <c r="F858" s="105">
        <v>19218.87</v>
      </c>
      <c r="G858" s="105">
        <v>0</v>
      </c>
      <c r="H858" s="105">
        <v>19218.87</v>
      </c>
      <c r="I858" s="105">
        <v>0</v>
      </c>
      <c r="J858" s="105">
        <v>0</v>
      </c>
      <c r="K858" s="148" t="s">
        <v>76</v>
      </c>
    </row>
    <row r="859" spans="1:11" s="50" customFormat="1" ht="42" customHeight="1" x14ac:dyDescent="0.25">
      <c r="A859" s="104">
        <f t="shared" si="29"/>
        <v>638</v>
      </c>
      <c r="B859" s="212"/>
      <c r="C859" s="148" t="s">
        <v>955</v>
      </c>
      <c r="D859" s="148" t="s">
        <v>323</v>
      </c>
      <c r="E859" s="148" t="s">
        <v>12</v>
      </c>
      <c r="F859" s="105">
        <v>18773.259999999998</v>
      </c>
      <c r="G859" s="105">
        <v>18773.259999999998</v>
      </c>
      <c r="H859" s="105">
        <v>0</v>
      </c>
      <c r="I859" s="105">
        <v>0</v>
      </c>
      <c r="J859" s="105">
        <v>0</v>
      </c>
      <c r="K859" s="148" t="s">
        <v>76</v>
      </c>
    </row>
    <row r="860" spans="1:11" s="50" customFormat="1" ht="42" customHeight="1" x14ac:dyDescent="0.25">
      <c r="A860" s="104">
        <f t="shared" si="29"/>
        <v>639</v>
      </c>
      <c r="B860" s="212"/>
      <c r="C860" s="148" t="s">
        <v>956</v>
      </c>
      <c r="D860" s="148" t="s">
        <v>443</v>
      </c>
      <c r="E860" s="148" t="s">
        <v>12</v>
      </c>
      <c r="F860" s="105">
        <v>10661.57</v>
      </c>
      <c r="G860" s="105">
        <v>10661.57</v>
      </c>
      <c r="H860" s="105">
        <v>0</v>
      </c>
      <c r="I860" s="105">
        <v>0</v>
      </c>
      <c r="J860" s="105">
        <v>0</v>
      </c>
      <c r="K860" s="148" t="s">
        <v>76</v>
      </c>
    </row>
    <row r="861" spans="1:11" s="50" customFormat="1" ht="42" customHeight="1" x14ac:dyDescent="0.25">
      <c r="A861" s="104">
        <f t="shared" si="29"/>
        <v>640</v>
      </c>
      <c r="B861" s="212"/>
      <c r="C861" s="148" t="s">
        <v>957</v>
      </c>
      <c r="D861" s="148" t="s">
        <v>958</v>
      </c>
      <c r="E861" s="148" t="s">
        <v>12</v>
      </c>
      <c r="F861" s="105">
        <v>2647.29781</v>
      </c>
      <c r="G861" s="105">
        <v>2647.29781</v>
      </c>
      <c r="H861" s="105">
        <v>0</v>
      </c>
      <c r="I861" s="105">
        <v>0</v>
      </c>
      <c r="J861" s="105">
        <v>0</v>
      </c>
      <c r="K861" s="148" t="s">
        <v>76</v>
      </c>
    </row>
    <row r="862" spans="1:11" s="50" customFormat="1" ht="29.4" customHeight="1" x14ac:dyDescent="0.25">
      <c r="A862" s="104">
        <f t="shared" si="29"/>
        <v>641</v>
      </c>
      <c r="B862" s="212"/>
      <c r="C862" s="148" t="s">
        <v>959</v>
      </c>
      <c r="D862" s="148" t="s">
        <v>300</v>
      </c>
      <c r="E862" s="148" t="s">
        <v>12</v>
      </c>
      <c r="F862" s="105">
        <v>2865.0880000000002</v>
      </c>
      <c r="G862" s="105">
        <v>2865.0880000000002</v>
      </c>
      <c r="H862" s="105">
        <v>0</v>
      </c>
      <c r="I862" s="105">
        <v>0</v>
      </c>
      <c r="J862" s="105">
        <v>0</v>
      </c>
      <c r="K862" s="148" t="s">
        <v>76</v>
      </c>
    </row>
    <row r="863" spans="1:11" s="50" customFormat="1" ht="40.799999999999997" customHeight="1" x14ac:dyDescent="0.25">
      <c r="A863" s="104">
        <f t="shared" si="29"/>
        <v>642</v>
      </c>
      <c r="B863" s="212"/>
      <c r="C863" s="148" t="s">
        <v>960</v>
      </c>
      <c r="D863" s="148" t="s">
        <v>49</v>
      </c>
      <c r="E863" s="148" t="s">
        <v>12</v>
      </c>
      <c r="F863" s="105">
        <v>1840.32</v>
      </c>
      <c r="G863" s="105">
        <v>1840.32</v>
      </c>
      <c r="H863" s="105">
        <v>0</v>
      </c>
      <c r="I863" s="105">
        <v>0</v>
      </c>
      <c r="J863" s="105">
        <v>0</v>
      </c>
      <c r="K863" s="148" t="s">
        <v>76</v>
      </c>
    </row>
    <row r="864" spans="1:11" s="50" customFormat="1" ht="40.799999999999997" customHeight="1" x14ac:dyDescent="0.25">
      <c r="A864" s="104">
        <f t="shared" si="29"/>
        <v>643</v>
      </c>
      <c r="B864" s="212"/>
      <c r="C864" s="148" t="s">
        <v>961</v>
      </c>
      <c r="D864" s="148" t="s">
        <v>745</v>
      </c>
      <c r="E864" s="148" t="s">
        <v>12</v>
      </c>
      <c r="F864" s="105">
        <v>490</v>
      </c>
      <c r="G864" s="105">
        <v>490</v>
      </c>
      <c r="H864" s="105">
        <v>0</v>
      </c>
      <c r="I864" s="105">
        <v>0</v>
      </c>
      <c r="J864" s="105">
        <v>0</v>
      </c>
      <c r="K864" s="148" t="s">
        <v>76</v>
      </c>
    </row>
    <row r="865" spans="1:11" s="50" customFormat="1" ht="40.799999999999997" customHeight="1" x14ac:dyDescent="0.25">
      <c r="A865" s="104">
        <f t="shared" si="29"/>
        <v>644</v>
      </c>
      <c r="B865" s="212"/>
      <c r="C865" s="148" t="s">
        <v>962</v>
      </c>
      <c r="D865" s="148" t="s">
        <v>300</v>
      </c>
      <c r="E865" s="148" t="s">
        <v>12</v>
      </c>
      <c r="F865" s="105">
        <v>2865.0880000000002</v>
      </c>
      <c r="G865" s="105">
        <v>2865.0880000000002</v>
      </c>
      <c r="H865" s="105">
        <v>0</v>
      </c>
      <c r="I865" s="105">
        <v>0</v>
      </c>
      <c r="J865" s="105">
        <v>0</v>
      </c>
      <c r="K865" s="148" t="s">
        <v>76</v>
      </c>
    </row>
    <row r="866" spans="1:11" s="50" customFormat="1" ht="40.799999999999997" customHeight="1" x14ac:dyDescent="0.25">
      <c r="A866" s="104">
        <f t="shared" si="29"/>
        <v>645</v>
      </c>
      <c r="B866" s="212"/>
      <c r="C866" s="148" t="s">
        <v>963</v>
      </c>
      <c r="D866" s="148" t="s">
        <v>323</v>
      </c>
      <c r="E866" s="148" t="s">
        <v>12</v>
      </c>
      <c r="F866" s="105">
        <v>8160.16</v>
      </c>
      <c r="G866" s="105">
        <v>8160.16</v>
      </c>
      <c r="H866" s="105">
        <v>0</v>
      </c>
      <c r="I866" s="105">
        <v>0</v>
      </c>
      <c r="J866" s="105">
        <v>0</v>
      </c>
      <c r="K866" s="148" t="s">
        <v>76</v>
      </c>
    </row>
    <row r="867" spans="1:11" s="50" customFormat="1" ht="40.799999999999997" customHeight="1" x14ac:dyDescent="0.25">
      <c r="A867" s="104">
        <f t="shared" si="29"/>
        <v>646</v>
      </c>
      <c r="B867" s="212"/>
      <c r="C867" s="148" t="s">
        <v>964</v>
      </c>
      <c r="D867" s="148" t="s">
        <v>243</v>
      </c>
      <c r="E867" s="148" t="s">
        <v>12</v>
      </c>
      <c r="F867" s="105">
        <v>19218.87</v>
      </c>
      <c r="G867" s="105">
        <v>0</v>
      </c>
      <c r="H867" s="105">
        <v>0</v>
      </c>
      <c r="I867" s="105">
        <v>19218.87</v>
      </c>
      <c r="J867" s="105">
        <v>0</v>
      </c>
      <c r="K867" s="148" t="s">
        <v>612</v>
      </c>
    </row>
    <row r="868" spans="1:11" s="50" customFormat="1" ht="40.799999999999997" customHeight="1" x14ac:dyDescent="0.25">
      <c r="A868" s="104">
        <f t="shared" si="29"/>
        <v>647</v>
      </c>
      <c r="B868" s="212"/>
      <c r="C868" s="148" t="s">
        <v>965</v>
      </c>
      <c r="D868" s="148" t="s">
        <v>290</v>
      </c>
      <c r="E868" s="148" t="s">
        <v>12</v>
      </c>
      <c r="F868" s="105">
        <v>19943.13076</v>
      </c>
      <c r="G868" s="105">
        <v>0</v>
      </c>
      <c r="H868" s="105">
        <v>19943.13076</v>
      </c>
      <c r="I868" s="105">
        <v>0</v>
      </c>
      <c r="J868" s="105">
        <v>0</v>
      </c>
      <c r="K868" s="148" t="s">
        <v>612</v>
      </c>
    </row>
    <row r="869" spans="1:11" s="50" customFormat="1" ht="40.799999999999997" customHeight="1" x14ac:dyDescent="0.25">
      <c r="A869" s="104">
        <f t="shared" si="29"/>
        <v>648</v>
      </c>
      <c r="B869" s="212"/>
      <c r="C869" s="148" t="s">
        <v>966</v>
      </c>
      <c r="D869" s="148" t="s">
        <v>286</v>
      </c>
      <c r="E869" s="148" t="s">
        <v>12</v>
      </c>
      <c r="F869" s="105">
        <v>9443.9691600000006</v>
      </c>
      <c r="G869" s="105">
        <v>0</v>
      </c>
      <c r="H869" s="105">
        <v>9443.9691600000006</v>
      </c>
      <c r="I869" s="105">
        <f>SUM(I867:I868)</f>
        <v>19218.87</v>
      </c>
      <c r="J869" s="105">
        <v>0</v>
      </c>
      <c r="K869" s="148" t="s">
        <v>612</v>
      </c>
    </row>
    <row r="870" spans="1:11" s="50" customFormat="1" ht="40.799999999999997" customHeight="1" x14ac:dyDescent="0.25">
      <c r="A870" s="104">
        <f t="shared" si="29"/>
        <v>649</v>
      </c>
      <c r="B870" s="212"/>
      <c r="C870" s="148" t="s">
        <v>967</v>
      </c>
      <c r="D870" s="148" t="s">
        <v>290</v>
      </c>
      <c r="E870" s="148" t="s">
        <v>12</v>
      </c>
      <c r="F870" s="105">
        <v>19943.13076</v>
      </c>
      <c r="G870" s="105">
        <v>0</v>
      </c>
      <c r="H870" s="105">
        <v>0</v>
      </c>
      <c r="I870" s="105">
        <v>19943.13076</v>
      </c>
      <c r="J870" s="105">
        <v>0</v>
      </c>
      <c r="K870" s="148" t="s">
        <v>318</v>
      </c>
    </row>
    <row r="871" spans="1:11" s="50" customFormat="1" ht="40.799999999999997" customHeight="1" x14ac:dyDescent="0.25">
      <c r="A871" s="104">
        <f t="shared" si="29"/>
        <v>650</v>
      </c>
      <c r="B871" s="212"/>
      <c r="C871" s="148" t="s">
        <v>968</v>
      </c>
      <c r="D871" s="148" t="s">
        <v>286</v>
      </c>
      <c r="E871" s="148" t="s">
        <v>12</v>
      </c>
      <c r="F871" s="105">
        <v>9443.9691600000006</v>
      </c>
      <c r="G871" s="105">
        <v>0</v>
      </c>
      <c r="H871" s="105">
        <v>0</v>
      </c>
      <c r="I871" s="105">
        <v>9443.9691600000006</v>
      </c>
      <c r="J871" s="105">
        <v>0</v>
      </c>
      <c r="K871" s="148" t="s">
        <v>318</v>
      </c>
    </row>
    <row r="872" spans="1:11" s="47" customFormat="1" ht="15" customHeight="1" x14ac:dyDescent="0.3">
      <c r="A872" s="213" t="s">
        <v>57</v>
      </c>
      <c r="B872" s="213"/>
      <c r="C872" s="213"/>
      <c r="D872" s="213"/>
      <c r="E872" s="147"/>
      <c r="F872" s="106"/>
      <c r="G872" s="107">
        <f>SUM(G847:G871)</f>
        <v>69503.219039999996</v>
      </c>
      <c r="H872" s="107"/>
      <c r="I872" s="107"/>
      <c r="J872" s="107"/>
      <c r="K872" s="147"/>
    </row>
    <row r="873" spans="1:11" s="49" customFormat="1" ht="16.95" customHeight="1" x14ac:dyDescent="0.3">
      <c r="A873" s="214" t="s">
        <v>62</v>
      </c>
      <c r="B873" s="215"/>
      <c r="C873" s="215"/>
      <c r="D873" s="215"/>
      <c r="E873" s="147"/>
      <c r="F873" s="106"/>
      <c r="G873" s="106"/>
      <c r="H873" s="107">
        <f>SUM(H847:H871)</f>
        <v>48605.969919999996</v>
      </c>
      <c r="I873" s="107"/>
      <c r="J873" s="107"/>
      <c r="K873" s="147"/>
    </row>
    <row r="874" spans="1:11" s="49" customFormat="1" ht="19.2" customHeight="1" x14ac:dyDescent="0.3">
      <c r="A874" s="214" t="s">
        <v>19</v>
      </c>
      <c r="B874" s="215"/>
      <c r="C874" s="215"/>
      <c r="D874" s="215"/>
      <c r="E874" s="147"/>
      <c r="F874" s="106"/>
      <c r="G874" s="106"/>
      <c r="H874" s="107"/>
      <c r="I874" s="107">
        <f>SUM(I847:I871)</f>
        <v>67824.839919999999</v>
      </c>
      <c r="J874" s="107"/>
      <c r="K874" s="147"/>
    </row>
    <row r="875" spans="1:11" s="46" customFormat="1" ht="42.6" customHeight="1" x14ac:dyDescent="0.3">
      <c r="A875" s="104">
        <v>651</v>
      </c>
      <c r="B875" s="209" t="s">
        <v>969</v>
      </c>
      <c r="C875" s="148" t="s">
        <v>970</v>
      </c>
      <c r="D875" s="148" t="s">
        <v>243</v>
      </c>
      <c r="E875" s="146" t="s">
        <v>12</v>
      </c>
      <c r="F875" s="105">
        <v>616.82299999999998</v>
      </c>
      <c r="G875" s="105">
        <v>616.82299999999998</v>
      </c>
      <c r="H875" s="105">
        <v>0</v>
      </c>
      <c r="I875" s="105">
        <v>0</v>
      </c>
      <c r="J875" s="105">
        <v>0</v>
      </c>
      <c r="K875" s="148" t="s">
        <v>72</v>
      </c>
    </row>
    <row r="876" spans="1:11" s="46" customFormat="1" ht="42.6" customHeight="1" x14ac:dyDescent="0.3">
      <c r="A876" s="104">
        <f>A875+1</f>
        <v>652</v>
      </c>
      <c r="B876" s="209"/>
      <c r="C876" s="148" t="s">
        <v>971</v>
      </c>
      <c r="D876" s="148" t="s">
        <v>972</v>
      </c>
      <c r="E876" s="146" t="s">
        <v>12</v>
      </c>
      <c r="F876" s="105">
        <v>6389.8680000000004</v>
      </c>
      <c r="G876" s="105">
        <v>6389.8680000000004</v>
      </c>
      <c r="H876" s="105">
        <v>0</v>
      </c>
      <c r="I876" s="105">
        <v>0</v>
      </c>
      <c r="J876" s="105">
        <v>0</v>
      </c>
      <c r="K876" s="148" t="s">
        <v>72</v>
      </c>
    </row>
    <row r="877" spans="1:11" s="46" customFormat="1" ht="42.6" customHeight="1" x14ac:dyDescent="0.3">
      <c r="A877" s="104">
        <f t="shared" ref="A877:A894" si="30">A876+1</f>
        <v>653</v>
      </c>
      <c r="B877" s="209"/>
      <c r="C877" s="148" t="s">
        <v>973</v>
      </c>
      <c r="D877" s="148" t="s">
        <v>743</v>
      </c>
      <c r="E877" s="146" t="s">
        <v>12</v>
      </c>
      <c r="F877" s="105">
        <v>9020.4941799999997</v>
      </c>
      <c r="G877" s="105">
        <v>9020.4941799999997</v>
      </c>
      <c r="H877" s="105">
        <v>0</v>
      </c>
      <c r="I877" s="105">
        <v>0</v>
      </c>
      <c r="J877" s="105">
        <v>0</v>
      </c>
      <c r="K877" s="148" t="s">
        <v>72</v>
      </c>
    </row>
    <row r="878" spans="1:11" s="46" customFormat="1" ht="61.8" customHeight="1" x14ac:dyDescent="0.3">
      <c r="A878" s="104">
        <f t="shared" si="30"/>
        <v>654</v>
      </c>
      <c r="B878" s="209"/>
      <c r="C878" s="148" t="s">
        <v>974</v>
      </c>
      <c r="D878" s="148" t="s">
        <v>975</v>
      </c>
      <c r="E878" s="146" t="s">
        <v>12</v>
      </c>
      <c r="F878" s="105">
        <v>1985.2860000000001</v>
      </c>
      <c r="G878" s="105">
        <v>1985.2860000000001</v>
      </c>
      <c r="H878" s="105">
        <v>0</v>
      </c>
      <c r="I878" s="105">
        <v>0</v>
      </c>
      <c r="J878" s="105">
        <v>0</v>
      </c>
      <c r="K878" s="148" t="s">
        <v>76</v>
      </c>
    </row>
    <row r="879" spans="1:11" s="46" customFormat="1" ht="61.8" customHeight="1" x14ac:dyDescent="0.3">
      <c r="A879" s="104">
        <f t="shared" si="30"/>
        <v>655</v>
      </c>
      <c r="B879" s="209"/>
      <c r="C879" s="148" t="s">
        <v>976</v>
      </c>
      <c r="D879" s="148" t="s">
        <v>323</v>
      </c>
      <c r="E879" s="146" t="s">
        <v>12</v>
      </c>
      <c r="F879" s="105">
        <v>3663.7649999999999</v>
      </c>
      <c r="G879" s="105">
        <v>3663.7649999999999</v>
      </c>
      <c r="H879" s="105">
        <v>0</v>
      </c>
      <c r="I879" s="105">
        <v>0</v>
      </c>
      <c r="J879" s="105">
        <v>0</v>
      </c>
      <c r="K879" s="148" t="s">
        <v>72</v>
      </c>
    </row>
    <row r="880" spans="1:11" s="46" customFormat="1" ht="61.8" customHeight="1" x14ac:dyDescent="0.3">
      <c r="A880" s="104">
        <f t="shared" si="30"/>
        <v>656</v>
      </c>
      <c r="B880" s="209"/>
      <c r="C880" s="148" t="s">
        <v>977</v>
      </c>
      <c r="D880" s="148" t="s">
        <v>325</v>
      </c>
      <c r="E880" s="146" t="s">
        <v>12</v>
      </c>
      <c r="F880" s="105">
        <v>250.816</v>
      </c>
      <c r="G880" s="105">
        <v>250.816</v>
      </c>
      <c r="H880" s="105">
        <v>0</v>
      </c>
      <c r="I880" s="105">
        <v>0</v>
      </c>
      <c r="J880" s="105">
        <v>0</v>
      </c>
      <c r="K880" s="148" t="s">
        <v>72</v>
      </c>
    </row>
    <row r="881" spans="1:11" s="46" customFormat="1" ht="61.8" customHeight="1" x14ac:dyDescent="0.3">
      <c r="A881" s="104">
        <f t="shared" si="30"/>
        <v>657</v>
      </c>
      <c r="B881" s="209"/>
      <c r="C881" s="148" t="s">
        <v>978</v>
      </c>
      <c r="D881" s="148" t="s">
        <v>349</v>
      </c>
      <c r="E881" s="146" t="s">
        <v>12</v>
      </c>
      <c r="F881" s="105">
        <v>2223.5</v>
      </c>
      <c r="G881" s="105">
        <v>2223.5</v>
      </c>
      <c r="H881" s="105">
        <v>0</v>
      </c>
      <c r="I881" s="105">
        <v>0</v>
      </c>
      <c r="J881" s="105">
        <v>0</v>
      </c>
      <c r="K881" s="148" t="s">
        <v>72</v>
      </c>
    </row>
    <row r="882" spans="1:11" s="46" customFormat="1" ht="61.8" customHeight="1" x14ac:dyDescent="0.3">
      <c r="A882" s="104">
        <f t="shared" si="30"/>
        <v>658</v>
      </c>
      <c r="B882" s="209"/>
      <c r="C882" s="148" t="s">
        <v>979</v>
      </c>
      <c r="D882" s="148" t="s">
        <v>563</v>
      </c>
      <c r="E882" s="146" t="s">
        <v>12</v>
      </c>
      <c r="F882" s="105">
        <v>6947.92</v>
      </c>
      <c r="G882" s="105">
        <v>6947.92</v>
      </c>
      <c r="H882" s="105">
        <v>0</v>
      </c>
      <c r="I882" s="105">
        <v>0</v>
      </c>
      <c r="J882" s="105">
        <v>0</v>
      </c>
      <c r="K882" s="148" t="s">
        <v>72</v>
      </c>
    </row>
    <row r="883" spans="1:11" s="46" customFormat="1" ht="61.8" customHeight="1" x14ac:dyDescent="0.3">
      <c r="A883" s="104">
        <f t="shared" si="30"/>
        <v>659</v>
      </c>
      <c r="B883" s="209"/>
      <c r="C883" s="148" t="s">
        <v>980</v>
      </c>
      <c r="D883" s="148" t="s">
        <v>981</v>
      </c>
      <c r="E883" s="146" t="s">
        <v>12</v>
      </c>
      <c r="F883" s="105">
        <v>1088.604</v>
      </c>
      <c r="G883" s="105">
        <v>1088.604</v>
      </c>
      <c r="H883" s="105">
        <v>0</v>
      </c>
      <c r="I883" s="105">
        <v>0</v>
      </c>
      <c r="J883" s="105">
        <v>0</v>
      </c>
      <c r="K883" s="148" t="s">
        <v>72</v>
      </c>
    </row>
    <row r="884" spans="1:11" s="46" customFormat="1" ht="61.8" customHeight="1" x14ac:dyDescent="0.3">
      <c r="A884" s="104">
        <f t="shared" si="30"/>
        <v>660</v>
      </c>
      <c r="B884" s="209"/>
      <c r="C884" s="148" t="s">
        <v>982</v>
      </c>
      <c r="D884" s="148" t="s">
        <v>235</v>
      </c>
      <c r="E884" s="146" t="s">
        <v>12</v>
      </c>
      <c r="F884" s="105">
        <v>2729.277</v>
      </c>
      <c r="G884" s="105">
        <v>1883.1769999999999</v>
      </c>
      <c r="H884" s="105">
        <v>846.1</v>
      </c>
      <c r="I884" s="105">
        <v>0</v>
      </c>
      <c r="J884" s="105">
        <v>0</v>
      </c>
      <c r="K884" s="148" t="s">
        <v>76</v>
      </c>
    </row>
    <row r="885" spans="1:11" s="46" customFormat="1" ht="61.8" customHeight="1" x14ac:dyDescent="0.3">
      <c r="A885" s="104">
        <f t="shared" si="30"/>
        <v>661</v>
      </c>
      <c r="B885" s="209"/>
      <c r="C885" s="148" t="s">
        <v>983</v>
      </c>
      <c r="D885" s="148" t="s">
        <v>436</v>
      </c>
      <c r="E885" s="146" t="s">
        <v>12</v>
      </c>
      <c r="F885" s="105">
        <v>1993.2</v>
      </c>
      <c r="G885" s="105">
        <v>1993.2</v>
      </c>
      <c r="H885" s="105">
        <v>0</v>
      </c>
      <c r="I885" s="105">
        <v>0</v>
      </c>
      <c r="J885" s="105">
        <v>0</v>
      </c>
      <c r="K885" s="148" t="s">
        <v>72</v>
      </c>
    </row>
    <row r="886" spans="1:11" s="46" customFormat="1" ht="61.8" customHeight="1" x14ac:dyDescent="0.3">
      <c r="A886" s="104">
        <f t="shared" si="30"/>
        <v>662</v>
      </c>
      <c r="B886" s="209"/>
      <c r="C886" s="148" t="s">
        <v>984</v>
      </c>
      <c r="D886" s="148" t="s">
        <v>981</v>
      </c>
      <c r="E886" s="146" t="s">
        <v>12</v>
      </c>
      <c r="F886" s="105">
        <v>688.94</v>
      </c>
      <c r="G886" s="105">
        <v>688.94</v>
      </c>
      <c r="H886" s="105">
        <v>0</v>
      </c>
      <c r="I886" s="105">
        <v>0</v>
      </c>
      <c r="J886" s="105">
        <v>0</v>
      </c>
      <c r="K886" s="148" t="s">
        <v>72</v>
      </c>
    </row>
    <row r="887" spans="1:11" s="46" customFormat="1" ht="40.200000000000003" customHeight="1" x14ac:dyDescent="0.3">
      <c r="A887" s="104">
        <f t="shared" si="30"/>
        <v>663</v>
      </c>
      <c r="B887" s="209"/>
      <c r="C887" s="148" t="s">
        <v>985</v>
      </c>
      <c r="D887" s="148" t="s">
        <v>295</v>
      </c>
      <c r="E887" s="146" t="s">
        <v>12</v>
      </c>
      <c r="F887" s="105">
        <v>1933.575</v>
      </c>
      <c r="G887" s="105">
        <v>1183.925</v>
      </c>
      <c r="H887" s="105">
        <v>749.65</v>
      </c>
      <c r="I887" s="105">
        <v>0</v>
      </c>
      <c r="J887" s="105">
        <v>0</v>
      </c>
      <c r="K887" s="148" t="s">
        <v>72</v>
      </c>
    </row>
    <row r="888" spans="1:11" s="46" customFormat="1" ht="40.200000000000003" customHeight="1" x14ac:dyDescent="0.3">
      <c r="A888" s="104">
        <f t="shared" si="30"/>
        <v>664</v>
      </c>
      <c r="B888" s="209"/>
      <c r="C888" s="148" t="s">
        <v>986</v>
      </c>
      <c r="D888" s="148" t="s">
        <v>243</v>
      </c>
      <c r="E888" s="146" t="s">
        <v>12</v>
      </c>
      <c r="F888" s="105">
        <v>4310.0739999999996</v>
      </c>
      <c r="G888" s="105">
        <v>2559.7060000000001</v>
      </c>
      <c r="H888" s="105">
        <v>1750.3679999999999</v>
      </c>
      <c r="I888" s="105">
        <v>0</v>
      </c>
      <c r="J888" s="105">
        <v>0</v>
      </c>
      <c r="K888" s="148" t="s">
        <v>72</v>
      </c>
    </row>
    <row r="889" spans="1:11" s="46" customFormat="1" ht="45" customHeight="1" x14ac:dyDescent="0.3">
      <c r="A889" s="104">
        <f t="shared" si="30"/>
        <v>665</v>
      </c>
      <c r="B889" s="209"/>
      <c r="C889" s="148" t="s">
        <v>987</v>
      </c>
      <c r="D889" s="148" t="s">
        <v>243</v>
      </c>
      <c r="E889" s="146" t="s">
        <v>12</v>
      </c>
      <c r="F889" s="105">
        <v>14175.028</v>
      </c>
      <c r="G889" s="105">
        <v>0</v>
      </c>
      <c r="H889" s="105">
        <v>14175.028</v>
      </c>
      <c r="I889" s="105">
        <v>0</v>
      </c>
      <c r="J889" s="105">
        <v>0</v>
      </c>
      <c r="K889" s="148" t="s">
        <v>316</v>
      </c>
    </row>
    <row r="890" spans="1:11" s="46" customFormat="1" ht="45" customHeight="1" x14ac:dyDescent="0.3">
      <c r="A890" s="104">
        <f t="shared" si="30"/>
        <v>666</v>
      </c>
      <c r="B890" s="209"/>
      <c r="C890" s="148" t="s">
        <v>988</v>
      </c>
      <c r="D890" s="148" t="s">
        <v>743</v>
      </c>
      <c r="E890" s="146" t="s">
        <v>12</v>
      </c>
      <c r="F890" s="105">
        <v>18077.987229999999</v>
      </c>
      <c r="G890" s="105">
        <v>0</v>
      </c>
      <c r="H890" s="105">
        <v>18077.987229999999</v>
      </c>
      <c r="I890" s="105">
        <v>0</v>
      </c>
      <c r="J890" s="105">
        <v>0</v>
      </c>
      <c r="K890" s="148" t="s">
        <v>282</v>
      </c>
    </row>
    <row r="891" spans="1:11" s="46" customFormat="1" ht="45" customHeight="1" x14ac:dyDescent="0.3">
      <c r="A891" s="104">
        <f t="shared" si="30"/>
        <v>667</v>
      </c>
      <c r="B891" s="209"/>
      <c r="C891" s="148" t="s">
        <v>989</v>
      </c>
      <c r="D891" s="148" t="s">
        <v>743</v>
      </c>
      <c r="E891" s="146" t="s">
        <v>12</v>
      </c>
      <c r="F891" s="105">
        <v>10871.8982</v>
      </c>
      <c r="G891" s="105">
        <v>0</v>
      </c>
      <c r="H891" s="105">
        <v>10871.8982</v>
      </c>
      <c r="I891" s="105">
        <v>0</v>
      </c>
      <c r="J891" s="105">
        <v>0</v>
      </c>
      <c r="K891" s="148" t="s">
        <v>282</v>
      </c>
    </row>
    <row r="892" spans="1:11" s="46" customFormat="1" ht="45" customHeight="1" x14ac:dyDescent="0.3">
      <c r="A892" s="104">
        <f t="shared" si="30"/>
        <v>668</v>
      </c>
      <c r="B892" s="209"/>
      <c r="C892" s="148" t="s">
        <v>990</v>
      </c>
      <c r="D892" s="148" t="s">
        <v>243</v>
      </c>
      <c r="E892" s="146" t="s">
        <v>12</v>
      </c>
      <c r="F892" s="105">
        <v>18449.579000000002</v>
      </c>
      <c r="G892" s="105">
        <v>0</v>
      </c>
      <c r="H892" s="105">
        <v>0</v>
      </c>
      <c r="I892" s="105">
        <v>18449.579000000002</v>
      </c>
      <c r="J892" s="105">
        <v>0</v>
      </c>
      <c r="K892" s="148" t="s">
        <v>359</v>
      </c>
    </row>
    <row r="893" spans="1:11" s="46" customFormat="1" ht="45" customHeight="1" x14ac:dyDescent="0.3">
      <c r="A893" s="104">
        <f t="shared" si="30"/>
        <v>669</v>
      </c>
      <c r="B893" s="209"/>
      <c r="C893" s="148" t="s">
        <v>991</v>
      </c>
      <c r="D893" s="148" t="s">
        <v>743</v>
      </c>
      <c r="E893" s="146" t="s">
        <v>12</v>
      </c>
      <c r="F893" s="105">
        <v>18077.987229999999</v>
      </c>
      <c r="G893" s="105">
        <v>0</v>
      </c>
      <c r="H893" s="105">
        <v>0</v>
      </c>
      <c r="I893" s="105">
        <v>18077.987229999999</v>
      </c>
      <c r="J893" s="105">
        <v>0</v>
      </c>
      <c r="K893" s="148" t="s">
        <v>318</v>
      </c>
    </row>
    <row r="894" spans="1:11" s="46" customFormat="1" ht="45" customHeight="1" x14ac:dyDescent="0.3">
      <c r="A894" s="104">
        <f t="shared" si="30"/>
        <v>670</v>
      </c>
      <c r="B894" s="209"/>
      <c r="C894" s="148" t="s">
        <v>992</v>
      </c>
      <c r="D894" s="148" t="s">
        <v>743</v>
      </c>
      <c r="E894" s="146" t="s">
        <v>12</v>
      </c>
      <c r="F894" s="105">
        <v>10871.8982</v>
      </c>
      <c r="G894" s="105">
        <v>0</v>
      </c>
      <c r="H894" s="105">
        <v>0</v>
      </c>
      <c r="I894" s="105">
        <v>10871.8982</v>
      </c>
      <c r="J894" s="105">
        <v>0</v>
      </c>
      <c r="K894" s="148" t="s">
        <v>318</v>
      </c>
    </row>
    <row r="895" spans="1:11" s="47" customFormat="1" ht="16.95" customHeight="1" x14ac:dyDescent="0.3">
      <c r="A895" s="213" t="s">
        <v>57</v>
      </c>
      <c r="B895" s="213"/>
      <c r="C895" s="213"/>
      <c r="D895" s="213"/>
      <c r="E895" s="147"/>
      <c r="F895" s="106"/>
      <c r="G895" s="107">
        <f>SUM(G875:G894)</f>
        <v>40496.02418</v>
      </c>
      <c r="H895" s="107"/>
      <c r="I895" s="107"/>
      <c r="J895" s="107"/>
      <c r="K895" s="147"/>
    </row>
    <row r="896" spans="1:11" s="49" customFormat="1" ht="17.399999999999999" customHeight="1" x14ac:dyDescent="0.3">
      <c r="A896" s="214" t="s">
        <v>62</v>
      </c>
      <c r="B896" s="215"/>
      <c r="C896" s="215"/>
      <c r="D896" s="215"/>
      <c r="E896" s="147"/>
      <c r="F896" s="106"/>
      <c r="G896" s="106"/>
      <c r="H896" s="107">
        <f>SUM(H875:H894)</f>
        <v>46471.031430000003</v>
      </c>
      <c r="I896" s="107"/>
      <c r="J896" s="107"/>
      <c r="K896" s="147"/>
    </row>
    <row r="897" spans="1:11" s="49" customFormat="1" ht="19.95" customHeight="1" x14ac:dyDescent="0.3">
      <c r="A897" s="214" t="s">
        <v>19</v>
      </c>
      <c r="B897" s="215"/>
      <c r="C897" s="215"/>
      <c r="D897" s="215"/>
      <c r="E897" s="147"/>
      <c r="F897" s="106"/>
      <c r="G897" s="106"/>
      <c r="H897" s="107"/>
      <c r="I897" s="107">
        <f>SUM(I875:I894)</f>
        <v>47399.464429999993</v>
      </c>
      <c r="J897" s="107"/>
      <c r="K897" s="147"/>
    </row>
    <row r="898" spans="1:11" s="50" customFormat="1" ht="28.95" customHeight="1" x14ac:dyDescent="0.25">
      <c r="A898" s="104">
        <v>671</v>
      </c>
      <c r="B898" s="212" t="s">
        <v>993</v>
      </c>
      <c r="C898" s="148" t="s">
        <v>994</v>
      </c>
      <c r="D898" s="148" t="s">
        <v>878</v>
      </c>
      <c r="E898" s="148" t="s">
        <v>12</v>
      </c>
      <c r="F898" s="105">
        <v>1034.4739999999999</v>
      </c>
      <c r="G898" s="105">
        <v>1034.4739999999999</v>
      </c>
      <c r="H898" s="105">
        <v>0</v>
      </c>
      <c r="I898" s="105">
        <v>0</v>
      </c>
      <c r="J898" s="105">
        <v>0</v>
      </c>
      <c r="K898" s="148" t="s">
        <v>72</v>
      </c>
    </row>
    <row r="899" spans="1:11" s="50" customFormat="1" ht="41.4" customHeight="1" x14ac:dyDescent="0.25">
      <c r="A899" s="104">
        <f>A898+1</f>
        <v>672</v>
      </c>
      <c r="B899" s="212"/>
      <c r="C899" s="148" t="s">
        <v>995</v>
      </c>
      <c r="D899" s="148" t="s">
        <v>233</v>
      </c>
      <c r="E899" s="148" t="s">
        <v>12</v>
      </c>
      <c r="F899" s="105">
        <v>7920.48</v>
      </c>
      <c r="G899" s="105">
        <v>7920.48</v>
      </c>
      <c r="H899" s="105">
        <v>0</v>
      </c>
      <c r="I899" s="105">
        <v>0</v>
      </c>
      <c r="J899" s="105">
        <v>0</v>
      </c>
      <c r="K899" s="148" t="s">
        <v>72</v>
      </c>
    </row>
    <row r="900" spans="1:11" s="50" customFormat="1" ht="88.2" customHeight="1" x14ac:dyDescent="0.25">
      <c r="A900" s="104">
        <f t="shared" ref="A900:A917" si="31">A899+1</f>
        <v>673</v>
      </c>
      <c r="B900" s="212"/>
      <c r="C900" s="148" t="s">
        <v>996</v>
      </c>
      <c r="D900" s="148" t="s">
        <v>997</v>
      </c>
      <c r="E900" s="148" t="s">
        <v>12</v>
      </c>
      <c r="F900" s="105">
        <v>1885.3130000000001</v>
      </c>
      <c r="G900" s="105">
        <v>1885.3130000000001</v>
      </c>
      <c r="H900" s="105">
        <v>0</v>
      </c>
      <c r="I900" s="105">
        <v>0</v>
      </c>
      <c r="J900" s="105">
        <v>0</v>
      </c>
      <c r="K900" s="148" t="s">
        <v>72</v>
      </c>
    </row>
    <row r="901" spans="1:11" s="50" customFormat="1" ht="66.599999999999994" customHeight="1" x14ac:dyDescent="0.25">
      <c r="A901" s="104">
        <f t="shared" si="31"/>
        <v>674</v>
      </c>
      <c r="B901" s="212"/>
      <c r="C901" s="148" t="s">
        <v>998</v>
      </c>
      <c r="D901" s="148" t="s">
        <v>93</v>
      </c>
      <c r="E901" s="148" t="s">
        <v>12</v>
      </c>
      <c r="F901" s="105">
        <v>465</v>
      </c>
      <c r="G901" s="105">
        <v>465</v>
      </c>
      <c r="H901" s="105">
        <v>0</v>
      </c>
      <c r="I901" s="105">
        <v>0</v>
      </c>
      <c r="J901" s="105">
        <v>0</v>
      </c>
      <c r="K901" s="148" t="s">
        <v>72</v>
      </c>
    </row>
    <row r="902" spans="1:11" s="50" customFormat="1" ht="28.95" customHeight="1" x14ac:dyDescent="0.25">
      <c r="A902" s="104">
        <f t="shared" si="31"/>
        <v>675</v>
      </c>
      <c r="B902" s="212"/>
      <c r="C902" s="148" t="s">
        <v>999</v>
      </c>
      <c r="D902" s="148" t="s">
        <v>610</v>
      </c>
      <c r="E902" s="148" t="s">
        <v>12</v>
      </c>
      <c r="F902" s="105">
        <v>475.12700000000001</v>
      </c>
      <c r="G902" s="105">
        <v>475.12700000000001</v>
      </c>
      <c r="H902" s="105">
        <v>0</v>
      </c>
      <c r="I902" s="105">
        <v>0</v>
      </c>
      <c r="J902" s="105">
        <v>0</v>
      </c>
      <c r="K902" s="148" t="s">
        <v>72</v>
      </c>
    </row>
    <row r="903" spans="1:11" s="50" customFormat="1" ht="61.2" customHeight="1" x14ac:dyDescent="0.25">
      <c r="A903" s="104">
        <f t="shared" si="31"/>
        <v>676</v>
      </c>
      <c r="B903" s="212"/>
      <c r="C903" s="148" t="s">
        <v>1000</v>
      </c>
      <c r="D903" s="148" t="s">
        <v>1001</v>
      </c>
      <c r="E903" s="148" t="s">
        <v>12</v>
      </c>
      <c r="F903" s="105">
        <v>6500.62</v>
      </c>
      <c r="G903" s="105">
        <v>6500.62</v>
      </c>
      <c r="H903" s="105">
        <v>0</v>
      </c>
      <c r="I903" s="105">
        <v>0</v>
      </c>
      <c r="J903" s="105">
        <v>0</v>
      </c>
      <c r="K903" s="148" t="s">
        <v>72</v>
      </c>
    </row>
    <row r="904" spans="1:11" s="50" customFormat="1" ht="61.2" customHeight="1" x14ac:dyDescent="0.25">
      <c r="A904" s="104">
        <f t="shared" si="31"/>
        <v>677</v>
      </c>
      <c r="B904" s="212"/>
      <c r="C904" s="148" t="s">
        <v>1002</v>
      </c>
      <c r="D904" s="148" t="s">
        <v>1003</v>
      </c>
      <c r="E904" s="148" t="s">
        <v>12</v>
      </c>
      <c r="F904" s="105">
        <v>1743.8979999999999</v>
      </c>
      <c r="G904" s="105">
        <v>1743.8979999999999</v>
      </c>
      <c r="H904" s="105">
        <v>0</v>
      </c>
      <c r="I904" s="105">
        <v>0</v>
      </c>
      <c r="J904" s="105">
        <v>0</v>
      </c>
      <c r="K904" s="148" t="s">
        <v>72</v>
      </c>
    </row>
    <row r="905" spans="1:11" s="50" customFormat="1" ht="28.95" customHeight="1" x14ac:dyDescent="0.25">
      <c r="A905" s="104">
        <f t="shared" si="31"/>
        <v>678</v>
      </c>
      <c r="B905" s="212"/>
      <c r="C905" s="148" t="s">
        <v>1004</v>
      </c>
      <c r="D905" s="148" t="s">
        <v>323</v>
      </c>
      <c r="E905" s="148" t="s">
        <v>12</v>
      </c>
      <c r="F905" s="105">
        <v>5465.3149999999996</v>
      </c>
      <c r="G905" s="105">
        <v>5465.3149999999996</v>
      </c>
      <c r="H905" s="105">
        <v>0</v>
      </c>
      <c r="I905" s="105">
        <v>0</v>
      </c>
      <c r="J905" s="105">
        <v>0</v>
      </c>
      <c r="K905" s="148" t="s">
        <v>72</v>
      </c>
    </row>
    <row r="906" spans="1:11" s="50" customFormat="1" ht="28.95" customHeight="1" x14ac:dyDescent="0.25">
      <c r="A906" s="104">
        <f t="shared" si="31"/>
        <v>679</v>
      </c>
      <c r="B906" s="212"/>
      <c r="C906" s="148" t="s">
        <v>1005</v>
      </c>
      <c r="D906" s="148" t="s">
        <v>235</v>
      </c>
      <c r="E906" s="148" t="s">
        <v>12</v>
      </c>
      <c r="F906" s="105">
        <v>1344.56</v>
      </c>
      <c r="G906" s="105">
        <v>1344.56</v>
      </c>
      <c r="H906" s="105">
        <v>0</v>
      </c>
      <c r="I906" s="105">
        <v>0</v>
      </c>
      <c r="J906" s="105">
        <v>0</v>
      </c>
      <c r="K906" s="148" t="s">
        <v>72</v>
      </c>
    </row>
    <row r="907" spans="1:11" s="50" customFormat="1" ht="28.95" customHeight="1" x14ac:dyDescent="0.25">
      <c r="A907" s="104">
        <f t="shared" si="31"/>
        <v>680</v>
      </c>
      <c r="B907" s="212"/>
      <c r="C907" s="148" t="s">
        <v>1006</v>
      </c>
      <c r="D907" s="148" t="s">
        <v>243</v>
      </c>
      <c r="E907" s="148" t="s">
        <v>12</v>
      </c>
      <c r="F907" s="105">
        <v>1089.52</v>
      </c>
      <c r="G907" s="105">
        <v>1089.52</v>
      </c>
      <c r="H907" s="105">
        <v>0</v>
      </c>
      <c r="I907" s="105">
        <v>0</v>
      </c>
      <c r="J907" s="105">
        <v>0</v>
      </c>
      <c r="K907" s="148" t="s">
        <v>72</v>
      </c>
    </row>
    <row r="908" spans="1:11" s="50" customFormat="1" ht="28.95" customHeight="1" x14ac:dyDescent="0.25">
      <c r="A908" s="104">
        <f t="shared" si="31"/>
        <v>681</v>
      </c>
      <c r="B908" s="212"/>
      <c r="C908" s="148" t="s">
        <v>1007</v>
      </c>
      <c r="D908" s="148" t="s">
        <v>295</v>
      </c>
      <c r="E908" s="148" t="s">
        <v>12</v>
      </c>
      <c r="F908" s="105">
        <v>903.96</v>
      </c>
      <c r="G908" s="105">
        <v>903.96</v>
      </c>
      <c r="H908" s="105">
        <v>0</v>
      </c>
      <c r="I908" s="105">
        <v>0</v>
      </c>
      <c r="J908" s="105">
        <v>0</v>
      </c>
      <c r="K908" s="148" t="s">
        <v>72</v>
      </c>
    </row>
    <row r="909" spans="1:11" s="50" customFormat="1" ht="28.95" customHeight="1" x14ac:dyDescent="0.25">
      <c r="A909" s="104">
        <f t="shared" si="31"/>
        <v>682</v>
      </c>
      <c r="B909" s="212"/>
      <c r="C909" s="148" t="s">
        <v>1008</v>
      </c>
      <c r="D909" s="148" t="s">
        <v>49</v>
      </c>
      <c r="E909" s="148" t="s">
        <v>12</v>
      </c>
      <c r="F909" s="105">
        <v>1840.32</v>
      </c>
      <c r="G909" s="105">
        <v>1578.6</v>
      </c>
      <c r="H909" s="105">
        <v>261.72000000000003</v>
      </c>
      <c r="I909" s="105">
        <v>0</v>
      </c>
      <c r="J909" s="105">
        <v>0</v>
      </c>
      <c r="K909" s="148" t="s">
        <v>72</v>
      </c>
    </row>
    <row r="910" spans="1:11" s="50" customFormat="1" ht="55.2" customHeight="1" x14ac:dyDescent="0.25">
      <c r="A910" s="104">
        <f t="shared" si="31"/>
        <v>683</v>
      </c>
      <c r="B910" s="212"/>
      <c r="C910" s="148" t="s">
        <v>1009</v>
      </c>
      <c r="D910" s="148" t="s">
        <v>630</v>
      </c>
      <c r="E910" s="148" t="s">
        <v>12</v>
      </c>
      <c r="F910" s="105">
        <v>1402.4304</v>
      </c>
      <c r="G910" s="105">
        <v>1402.4304</v>
      </c>
      <c r="H910" s="105">
        <v>0</v>
      </c>
      <c r="I910" s="105">
        <v>0</v>
      </c>
      <c r="J910" s="105">
        <v>0</v>
      </c>
      <c r="K910" s="148" t="s">
        <v>72</v>
      </c>
    </row>
    <row r="911" spans="1:11" s="50" customFormat="1" ht="39" customHeight="1" x14ac:dyDescent="0.25">
      <c r="A911" s="104">
        <f t="shared" si="31"/>
        <v>684</v>
      </c>
      <c r="B911" s="212"/>
      <c r="C911" s="148" t="s">
        <v>1010</v>
      </c>
      <c r="D911" s="148" t="s">
        <v>1011</v>
      </c>
      <c r="E911" s="148" t="s">
        <v>12</v>
      </c>
      <c r="F911" s="105">
        <v>2307.895</v>
      </c>
      <c r="G911" s="105">
        <v>2307.895</v>
      </c>
      <c r="H911" s="105">
        <v>0</v>
      </c>
      <c r="I911" s="105">
        <v>0</v>
      </c>
      <c r="J911" s="105">
        <v>0</v>
      </c>
      <c r="K911" s="148" t="s">
        <v>72</v>
      </c>
    </row>
    <row r="912" spans="1:11" s="50" customFormat="1" ht="39" customHeight="1" x14ac:dyDescent="0.25">
      <c r="A912" s="104">
        <f t="shared" si="31"/>
        <v>685</v>
      </c>
      <c r="B912" s="212"/>
      <c r="C912" s="148" t="s">
        <v>1012</v>
      </c>
      <c r="D912" s="148" t="s">
        <v>295</v>
      </c>
      <c r="E912" s="148" t="s">
        <v>12</v>
      </c>
      <c r="F912" s="105">
        <v>1884.4</v>
      </c>
      <c r="G912" s="105">
        <v>0</v>
      </c>
      <c r="H912" s="105">
        <v>1884.4</v>
      </c>
      <c r="I912" s="105">
        <v>0</v>
      </c>
      <c r="J912" s="105">
        <v>0</v>
      </c>
      <c r="K912" s="148" t="s">
        <v>316</v>
      </c>
    </row>
    <row r="913" spans="1:11" s="50" customFormat="1" ht="39" customHeight="1" x14ac:dyDescent="0.25">
      <c r="A913" s="104">
        <f t="shared" si="31"/>
        <v>686</v>
      </c>
      <c r="B913" s="212"/>
      <c r="C913" s="148" t="s">
        <v>1013</v>
      </c>
      <c r="D913" s="148" t="s">
        <v>743</v>
      </c>
      <c r="E913" s="148" t="s">
        <v>12</v>
      </c>
      <c r="F913" s="105">
        <v>15164.5</v>
      </c>
      <c r="G913" s="105">
        <v>0</v>
      </c>
      <c r="H913" s="105">
        <v>15164.5</v>
      </c>
      <c r="I913" s="105">
        <v>0</v>
      </c>
      <c r="J913" s="105">
        <v>0</v>
      </c>
      <c r="K913" s="148" t="s">
        <v>316</v>
      </c>
    </row>
    <row r="914" spans="1:11" s="50" customFormat="1" ht="39" customHeight="1" x14ac:dyDescent="0.25">
      <c r="A914" s="104">
        <f t="shared" si="31"/>
        <v>687</v>
      </c>
      <c r="B914" s="212"/>
      <c r="C914" s="148" t="s">
        <v>1014</v>
      </c>
      <c r="D914" s="148" t="s">
        <v>565</v>
      </c>
      <c r="E914" s="148" t="s">
        <v>12</v>
      </c>
      <c r="F914" s="105">
        <v>6426.6632499999996</v>
      </c>
      <c r="G914" s="105">
        <v>0</v>
      </c>
      <c r="H914" s="105">
        <v>6426.6632499999996</v>
      </c>
      <c r="I914" s="105">
        <v>0</v>
      </c>
      <c r="J914" s="105">
        <v>0</v>
      </c>
      <c r="K914" s="148" t="s">
        <v>316</v>
      </c>
    </row>
    <row r="915" spans="1:11" s="50" customFormat="1" ht="39" customHeight="1" x14ac:dyDescent="0.25">
      <c r="A915" s="104">
        <f t="shared" si="31"/>
        <v>688</v>
      </c>
      <c r="B915" s="212"/>
      <c r="C915" s="148" t="s">
        <v>1015</v>
      </c>
      <c r="D915" s="148" t="s">
        <v>743</v>
      </c>
      <c r="E915" s="148" t="s">
        <v>12</v>
      </c>
      <c r="F915" s="105">
        <v>15164.5</v>
      </c>
      <c r="G915" s="105">
        <v>0</v>
      </c>
      <c r="H915" s="105">
        <v>0</v>
      </c>
      <c r="I915" s="105">
        <v>15164.5</v>
      </c>
      <c r="J915" s="105">
        <v>0</v>
      </c>
      <c r="K915" s="148" t="s">
        <v>359</v>
      </c>
    </row>
    <row r="916" spans="1:11" s="50" customFormat="1" ht="39" customHeight="1" x14ac:dyDescent="0.25">
      <c r="A916" s="104">
        <f t="shared" si="31"/>
        <v>689</v>
      </c>
      <c r="B916" s="212"/>
      <c r="C916" s="148" t="s">
        <v>1016</v>
      </c>
      <c r="D916" s="148" t="s">
        <v>565</v>
      </c>
      <c r="E916" s="148" t="s">
        <v>12</v>
      </c>
      <c r="F916" s="105">
        <v>6426.6632499999996</v>
      </c>
      <c r="G916" s="105">
        <v>0</v>
      </c>
      <c r="H916" s="105">
        <v>0</v>
      </c>
      <c r="I916" s="105">
        <v>6426.6632499999996</v>
      </c>
      <c r="J916" s="105">
        <v>0</v>
      </c>
      <c r="K916" s="148" t="s">
        <v>359</v>
      </c>
    </row>
    <row r="917" spans="1:11" s="50" customFormat="1" ht="39" customHeight="1" x14ac:dyDescent="0.25">
      <c r="A917" s="104">
        <f t="shared" si="31"/>
        <v>690</v>
      </c>
      <c r="B917" s="212"/>
      <c r="C917" s="148" t="s">
        <v>1017</v>
      </c>
      <c r="D917" s="148" t="s">
        <v>295</v>
      </c>
      <c r="E917" s="148" t="s">
        <v>12</v>
      </c>
      <c r="F917" s="105">
        <v>1884.4</v>
      </c>
      <c r="G917" s="105">
        <v>0</v>
      </c>
      <c r="H917" s="105">
        <v>0</v>
      </c>
      <c r="I917" s="105">
        <v>1884.4</v>
      </c>
      <c r="J917" s="105">
        <v>0</v>
      </c>
      <c r="K917" s="148" t="s">
        <v>359</v>
      </c>
    </row>
    <row r="918" spans="1:11" s="47" customFormat="1" ht="16.2" customHeight="1" x14ac:dyDescent="0.3">
      <c r="A918" s="213" t="s">
        <v>57</v>
      </c>
      <c r="B918" s="213"/>
      <c r="C918" s="213"/>
      <c r="D918" s="213"/>
      <c r="E918" s="147"/>
      <c r="F918" s="106"/>
      <c r="G918" s="107">
        <f>SUM(G898:G917)</f>
        <v>34117.1924</v>
      </c>
      <c r="H918" s="107"/>
      <c r="I918" s="107"/>
      <c r="J918" s="107"/>
      <c r="K918" s="147"/>
    </row>
    <row r="919" spans="1:11" s="49" customFormat="1" ht="17.399999999999999" customHeight="1" x14ac:dyDescent="0.3">
      <c r="A919" s="214" t="s">
        <v>62</v>
      </c>
      <c r="B919" s="215"/>
      <c r="C919" s="215"/>
      <c r="D919" s="215"/>
      <c r="E919" s="147"/>
      <c r="F919" s="106"/>
      <c r="G919" s="106"/>
      <c r="H919" s="107">
        <f>SUM(H898:H917)</f>
        <v>23737.28325</v>
      </c>
      <c r="I919" s="107"/>
      <c r="J919" s="107"/>
      <c r="K919" s="147"/>
    </row>
    <row r="920" spans="1:11" s="49" customFormat="1" ht="17.399999999999999" customHeight="1" x14ac:dyDescent="0.3">
      <c r="A920" s="214" t="s">
        <v>19</v>
      </c>
      <c r="B920" s="215"/>
      <c r="C920" s="215"/>
      <c r="D920" s="215"/>
      <c r="E920" s="147"/>
      <c r="F920" s="106"/>
      <c r="G920" s="106"/>
      <c r="H920" s="107"/>
      <c r="I920" s="107">
        <f>SUM(I898:I917)</f>
        <v>23475.563249999999</v>
      </c>
      <c r="J920" s="107"/>
      <c r="K920" s="147"/>
    </row>
    <row r="921" spans="1:11" s="46" customFormat="1" ht="41.4" customHeight="1" x14ac:dyDescent="0.3">
      <c r="A921" s="104">
        <v>691</v>
      </c>
      <c r="B921" s="209" t="s">
        <v>1018</v>
      </c>
      <c r="C921" s="148" t="s">
        <v>1019</v>
      </c>
      <c r="D921" s="148" t="s">
        <v>323</v>
      </c>
      <c r="E921" s="146" t="s">
        <v>12</v>
      </c>
      <c r="F921" s="105">
        <v>2081.2980400000001</v>
      </c>
      <c r="G921" s="105">
        <v>2081.2980400000001</v>
      </c>
      <c r="H921" s="105">
        <v>0</v>
      </c>
      <c r="I921" s="105">
        <v>0</v>
      </c>
      <c r="J921" s="105">
        <v>0</v>
      </c>
      <c r="K921" s="148" t="s">
        <v>72</v>
      </c>
    </row>
    <row r="922" spans="1:11" s="46" customFormat="1" ht="67.2" customHeight="1" x14ac:dyDescent="0.3">
      <c r="A922" s="104">
        <f>A921+1</f>
        <v>692</v>
      </c>
      <c r="B922" s="209"/>
      <c r="C922" s="148" t="s">
        <v>1020</v>
      </c>
      <c r="D922" s="148" t="s">
        <v>93</v>
      </c>
      <c r="E922" s="146" t="s">
        <v>12</v>
      </c>
      <c r="F922" s="105">
        <v>1499.9992199999999</v>
      </c>
      <c r="G922" s="105">
        <v>1499.9992199999999</v>
      </c>
      <c r="H922" s="105">
        <v>0</v>
      </c>
      <c r="I922" s="105">
        <v>0</v>
      </c>
      <c r="J922" s="105">
        <v>0</v>
      </c>
      <c r="K922" s="148" t="s">
        <v>72</v>
      </c>
    </row>
    <row r="923" spans="1:11" s="46" customFormat="1" ht="42" customHeight="1" x14ac:dyDescent="0.3">
      <c r="A923" s="104">
        <f t="shared" ref="A923:A932" si="32">A922+1</f>
        <v>693</v>
      </c>
      <c r="B923" s="209"/>
      <c r="C923" s="148" t="s">
        <v>1021</v>
      </c>
      <c r="D923" s="148" t="s">
        <v>243</v>
      </c>
      <c r="E923" s="146" t="s">
        <v>12</v>
      </c>
      <c r="F923" s="105">
        <v>17086.2</v>
      </c>
      <c r="G923" s="105">
        <v>0</v>
      </c>
      <c r="H923" s="105">
        <v>8086.2</v>
      </c>
      <c r="I923" s="105">
        <v>9000</v>
      </c>
      <c r="J923" s="105">
        <v>0</v>
      </c>
      <c r="K923" s="148" t="s">
        <v>76</v>
      </c>
    </row>
    <row r="924" spans="1:11" s="46" customFormat="1" ht="42" customHeight="1" x14ac:dyDescent="0.3">
      <c r="A924" s="104">
        <f t="shared" si="32"/>
        <v>694</v>
      </c>
      <c r="B924" s="209"/>
      <c r="C924" s="148" t="s">
        <v>1022</v>
      </c>
      <c r="D924" s="148" t="s">
        <v>243</v>
      </c>
      <c r="E924" s="146" t="s">
        <v>12</v>
      </c>
      <c r="F924" s="105">
        <v>2741.0728599999998</v>
      </c>
      <c r="G924" s="105">
        <v>2741.0728599999998</v>
      </c>
      <c r="H924" s="105">
        <v>0</v>
      </c>
      <c r="I924" s="105">
        <v>0</v>
      </c>
      <c r="J924" s="105">
        <v>0</v>
      </c>
      <c r="K924" s="148" t="s">
        <v>76</v>
      </c>
    </row>
    <row r="925" spans="1:11" s="46" customFormat="1" ht="42" customHeight="1" x14ac:dyDescent="0.3">
      <c r="A925" s="104">
        <f t="shared" si="32"/>
        <v>695</v>
      </c>
      <c r="B925" s="209"/>
      <c r="C925" s="148" t="s">
        <v>1023</v>
      </c>
      <c r="D925" s="148" t="s">
        <v>300</v>
      </c>
      <c r="E925" s="146" t="s">
        <v>12</v>
      </c>
      <c r="F925" s="105">
        <v>900</v>
      </c>
      <c r="G925" s="105">
        <v>900</v>
      </c>
      <c r="H925" s="105">
        <v>0</v>
      </c>
      <c r="I925" s="105">
        <v>0</v>
      </c>
      <c r="J925" s="105">
        <v>0</v>
      </c>
      <c r="K925" s="148" t="s">
        <v>72</v>
      </c>
    </row>
    <row r="926" spans="1:11" s="46" customFormat="1" ht="42" customHeight="1" x14ac:dyDescent="0.3">
      <c r="A926" s="104">
        <f t="shared" si="32"/>
        <v>696</v>
      </c>
      <c r="B926" s="209"/>
      <c r="C926" s="148" t="s">
        <v>1024</v>
      </c>
      <c r="D926" s="148" t="s">
        <v>323</v>
      </c>
      <c r="E926" s="146" t="s">
        <v>12</v>
      </c>
      <c r="F926" s="105">
        <v>6755.3825900000002</v>
      </c>
      <c r="G926" s="105">
        <v>6755.3825900000002</v>
      </c>
      <c r="H926" s="105">
        <v>0</v>
      </c>
      <c r="I926" s="105">
        <v>0</v>
      </c>
      <c r="J926" s="105">
        <v>0</v>
      </c>
      <c r="K926" s="148" t="s">
        <v>72</v>
      </c>
    </row>
    <row r="927" spans="1:11" s="46" customFormat="1" ht="26.4" x14ac:dyDescent="0.3">
      <c r="A927" s="104">
        <f t="shared" si="32"/>
        <v>697</v>
      </c>
      <c r="B927" s="209"/>
      <c r="C927" s="148" t="s">
        <v>1025</v>
      </c>
      <c r="D927" s="148" t="s">
        <v>235</v>
      </c>
      <c r="E927" s="146" t="s">
        <v>12</v>
      </c>
      <c r="F927" s="105">
        <v>1603.18</v>
      </c>
      <c r="G927" s="105">
        <v>1202.98</v>
      </c>
      <c r="H927" s="105">
        <v>400.2</v>
      </c>
      <c r="I927" s="105">
        <v>0</v>
      </c>
      <c r="J927" s="105">
        <v>0</v>
      </c>
      <c r="K927" s="148" t="s">
        <v>72</v>
      </c>
    </row>
    <row r="928" spans="1:11" s="46" customFormat="1" ht="39.6" customHeight="1" x14ac:dyDescent="0.3">
      <c r="A928" s="104">
        <f t="shared" si="32"/>
        <v>698</v>
      </c>
      <c r="B928" s="209"/>
      <c r="C928" s="148" t="s">
        <v>1026</v>
      </c>
      <c r="D928" s="148" t="s">
        <v>1027</v>
      </c>
      <c r="E928" s="146" t="s">
        <v>12</v>
      </c>
      <c r="F928" s="105">
        <v>515</v>
      </c>
      <c r="G928" s="105">
        <v>275</v>
      </c>
      <c r="H928" s="105">
        <v>240</v>
      </c>
      <c r="I928" s="105">
        <v>0</v>
      </c>
      <c r="J928" s="105">
        <v>0</v>
      </c>
      <c r="K928" s="148" t="s">
        <v>72</v>
      </c>
    </row>
    <row r="929" spans="1:11" s="46" customFormat="1" ht="39.6" customHeight="1" x14ac:dyDescent="0.3">
      <c r="A929" s="104">
        <f t="shared" si="32"/>
        <v>699</v>
      </c>
      <c r="B929" s="209"/>
      <c r="C929" s="148" t="s">
        <v>1028</v>
      </c>
      <c r="D929" s="148" t="s">
        <v>323</v>
      </c>
      <c r="E929" s="146" t="s">
        <v>12</v>
      </c>
      <c r="F929" s="105">
        <v>6973.7128000000002</v>
      </c>
      <c r="G929" s="105">
        <v>6973.7128000000002</v>
      </c>
      <c r="H929" s="105">
        <v>0</v>
      </c>
      <c r="I929" s="105">
        <v>0</v>
      </c>
      <c r="J929" s="105">
        <v>0</v>
      </c>
      <c r="K929" s="148" t="s">
        <v>72</v>
      </c>
    </row>
    <row r="930" spans="1:11" s="46" customFormat="1" ht="39.6" customHeight="1" x14ac:dyDescent="0.3">
      <c r="A930" s="104">
        <f t="shared" si="32"/>
        <v>700</v>
      </c>
      <c r="B930" s="209"/>
      <c r="C930" s="148" t="s">
        <v>1029</v>
      </c>
      <c r="D930" s="148" t="s">
        <v>323</v>
      </c>
      <c r="E930" s="146" t="s">
        <v>12</v>
      </c>
      <c r="F930" s="105">
        <v>2081.2980400000001</v>
      </c>
      <c r="G930" s="105">
        <v>2081.2980400000001</v>
      </c>
      <c r="H930" s="105">
        <v>0</v>
      </c>
      <c r="I930" s="105">
        <v>0</v>
      </c>
      <c r="J930" s="105">
        <v>0</v>
      </c>
      <c r="K930" s="148" t="s">
        <v>72</v>
      </c>
    </row>
    <row r="931" spans="1:11" s="46" customFormat="1" ht="39.6" customHeight="1" x14ac:dyDescent="0.3">
      <c r="A931" s="104">
        <f t="shared" si="32"/>
        <v>701</v>
      </c>
      <c r="B931" s="209"/>
      <c r="C931" s="148" t="s">
        <v>1030</v>
      </c>
      <c r="D931" s="148" t="s">
        <v>323</v>
      </c>
      <c r="E931" s="146" t="s">
        <v>12</v>
      </c>
      <c r="F931" s="105">
        <v>5602.5111799999995</v>
      </c>
      <c r="G931" s="105">
        <v>0</v>
      </c>
      <c r="H931" s="105">
        <v>5602.5111799999995</v>
      </c>
      <c r="I931" s="105">
        <v>0</v>
      </c>
      <c r="J931" s="105">
        <v>0</v>
      </c>
      <c r="K931" s="148" t="s">
        <v>282</v>
      </c>
    </row>
    <row r="932" spans="1:11" s="46" customFormat="1" ht="39.6" customHeight="1" x14ac:dyDescent="0.3">
      <c r="A932" s="104">
        <f t="shared" si="32"/>
        <v>702</v>
      </c>
      <c r="B932" s="209"/>
      <c r="C932" s="148" t="s">
        <v>1031</v>
      </c>
      <c r="D932" s="148" t="s">
        <v>323</v>
      </c>
      <c r="E932" s="146" t="s">
        <v>12</v>
      </c>
      <c r="F932" s="105">
        <v>8977.4177400000008</v>
      </c>
      <c r="G932" s="105">
        <v>0</v>
      </c>
      <c r="H932" s="105">
        <v>0</v>
      </c>
      <c r="I932" s="105">
        <v>8977.4177400000008</v>
      </c>
      <c r="J932" s="105">
        <v>0</v>
      </c>
      <c r="K932" s="148" t="s">
        <v>282</v>
      </c>
    </row>
    <row r="933" spans="1:11" s="47" customFormat="1" ht="15.6" customHeight="1" x14ac:dyDescent="0.3">
      <c r="A933" s="213" t="s">
        <v>57</v>
      </c>
      <c r="B933" s="213"/>
      <c r="C933" s="213"/>
      <c r="D933" s="213"/>
      <c r="E933" s="147"/>
      <c r="F933" s="106"/>
      <c r="G933" s="107">
        <f>SUM(G921:G932)</f>
        <v>24510.743550000003</v>
      </c>
      <c r="H933" s="107"/>
      <c r="I933" s="107"/>
      <c r="J933" s="107"/>
      <c r="K933" s="147"/>
    </row>
    <row r="934" spans="1:11" s="49" customFormat="1" ht="15" customHeight="1" x14ac:dyDescent="0.3">
      <c r="A934" s="214" t="s">
        <v>62</v>
      </c>
      <c r="B934" s="215"/>
      <c r="C934" s="215"/>
      <c r="D934" s="215"/>
      <c r="E934" s="147"/>
      <c r="F934" s="106"/>
      <c r="G934" s="106"/>
      <c r="H934" s="107">
        <f>SUM(H921:H932)</f>
        <v>14328.911179999999</v>
      </c>
      <c r="I934" s="107"/>
      <c r="J934" s="107"/>
      <c r="K934" s="147"/>
    </row>
    <row r="935" spans="1:11" s="49" customFormat="1" ht="17.399999999999999" customHeight="1" x14ac:dyDescent="0.3">
      <c r="A935" s="214" t="s">
        <v>19</v>
      </c>
      <c r="B935" s="215"/>
      <c r="C935" s="215"/>
      <c r="D935" s="215"/>
      <c r="E935" s="147"/>
      <c r="F935" s="106"/>
      <c r="G935" s="106"/>
      <c r="H935" s="107"/>
      <c r="I935" s="107">
        <f>SUM(I921:I932)</f>
        <v>17977.417740000001</v>
      </c>
      <c r="J935" s="107"/>
      <c r="K935" s="147"/>
    </row>
    <row r="936" spans="1:11" s="50" customFormat="1" ht="29.4" customHeight="1" x14ac:dyDescent="0.25">
      <c r="A936" s="104">
        <v>703</v>
      </c>
      <c r="B936" s="212" t="s">
        <v>1032</v>
      </c>
      <c r="C936" s="148" t="s">
        <v>1033</v>
      </c>
      <c r="D936" s="148" t="s">
        <v>286</v>
      </c>
      <c r="E936" s="148" t="s">
        <v>12</v>
      </c>
      <c r="F936" s="105">
        <v>7.4390000000000001</v>
      </c>
      <c r="G936" s="105">
        <v>7.4390000000000001</v>
      </c>
      <c r="H936" s="105">
        <v>0</v>
      </c>
      <c r="I936" s="105">
        <v>0</v>
      </c>
      <c r="J936" s="105">
        <v>0</v>
      </c>
      <c r="K936" s="148" t="s">
        <v>72</v>
      </c>
    </row>
    <row r="937" spans="1:11" s="50" customFormat="1" ht="29.4" customHeight="1" x14ac:dyDescent="0.25">
      <c r="A937" s="104">
        <f>A936+1</f>
        <v>704</v>
      </c>
      <c r="B937" s="212"/>
      <c r="C937" s="148" t="s">
        <v>1034</v>
      </c>
      <c r="D937" s="148" t="s">
        <v>755</v>
      </c>
      <c r="E937" s="148" t="s">
        <v>12</v>
      </c>
      <c r="F937" s="105">
        <v>9564.8687599999994</v>
      </c>
      <c r="G937" s="105">
        <v>9564.8687599999994</v>
      </c>
      <c r="H937" s="105">
        <v>0</v>
      </c>
      <c r="I937" s="105">
        <v>0</v>
      </c>
      <c r="J937" s="105">
        <v>0</v>
      </c>
      <c r="K937" s="148" t="s">
        <v>72</v>
      </c>
    </row>
    <row r="938" spans="1:11" s="50" customFormat="1" ht="69.599999999999994" customHeight="1" x14ac:dyDescent="0.25">
      <c r="A938" s="104">
        <f t="shared" ref="A938:A956" si="33">A937+1</f>
        <v>705</v>
      </c>
      <c r="B938" s="212"/>
      <c r="C938" s="148" t="s">
        <v>1035</v>
      </c>
      <c r="D938" s="148" t="s">
        <v>1036</v>
      </c>
      <c r="E938" s="148" t="s">
        <v>12</v>
      </c>
      <c r="F938" s="105">
        <v>1560</v>
      </c>
      <c r="G938" s="105">
        <v>1560</v>
      </c>
      <c r="H938" s="105">
        <v>0</v>
      </c>
      <c r="I938" s="105">
        <v>0</v>
      </c>
      <c r="J938" s="105">
        <v>0</v>
      </c>
      <c r="K938" s="148" t="s">
        <v>72</v>
      </c>
    </row>
    <row r="939" spans="1:11" s="50" customFormat="1" ht="55.8" customHeight="1" x14ac:dyDescent="0.25">
      <c r="A939" s="104">
        <f t="shared" si="33"/>
        <v>706</v>
      </c>
      <c r="B939" s="212"/>
      <c r="C939" s="148" t="s">
        <v>1037</v>
      </c>
      <c r="D939" s="148" t="s">
        <v>630</v>
      </c>
      <c r="E939" s="148" t="s">
        <v>12</v>
      </c>
      <c r="F939" s="105">
        <v>1630.2084</v>
      </c>
      <c r="G939" s="105">
        <v>1630.2084</v>
      </c>
      <c r="H939" s="105">
        <v>0</v>
      </c>
      <c r="I939" s="105">
        <v>0</v>
      </c>
      <c r="J939" s="105">
        <v>0</v>
      </c>
      <c r="K939" s="148" t="s">
        <v>72</v>
      </c>
    </row>
    <row r="940" spans="1:11" s="50" customFormat="1" ht="67.8" customHeight="1" x14ac:dyDescent="0.25">
      <c r="A940" s="104">
        <f t="shared" si="33"/>
        <v>707</v>
      </c>
      <c r="B940" s="212"/>
      <c r="C940" s="148" t="s">
        <v>1038</v>
      </c>
      <c r="D940" s="148" t="s">
        <v>93</v>
      </c>
      <c r="E940" s="148" t="s">
        <v>12</v>
      </c>
      <c r="F940" s="105">
        <v>165.91</v>
      </c>
      <c r="G940" s="105">
        <v>165.91</v>
      </c>
      <c r="H940" s="105">
        <v>0</v>
      </c>
      <c r="I940" s="105">
        <v>0</v>
      </c>
      <c r="J940" s="105">
        <v>0</v>
      </c>
      <c r="K940" s="148" t="s">
        <v>72</v>
      </c>
    </row>
    <row r="941" spans="1:11" s="50" customFormat="1" ht="29.4" customHeight="1" x14ac:dyDescent="0.25">
      <c r="A941" s="104">
        <f t="shared" si="33"/>
        <v>708</v>
      </c>
      <c r="B941" s="212"/>
      <c r="C941" s="148" t="s">
        <v>1039</v>
      </c>
      <c r="D941" s="148" t="s">
        <v>286</v>
      </c>
      <c r="E941" s="148" t="s">
        <v>12</v>
      </c>
      <c r="F941" s="105">
        <v>341.65</v>
      </c>
      <c r="G941" s="105">
        <v>341.65</v>
      </c>
      <c r="H941" s="105">
        <v>0</v>
      </c>
      <c r="I941" s="105">
        <v>0</v>
      </c>
      <c r="J941" s="105">
        <v>0</v>
      </c>
      <c r="K941" s="148" t="s">
        <v>72</v>
      </c>
    </row>
    <row r="942" spans="1:11" s="50" customFormat="1" ht="29.4" customHeight="1" x14ac:dyDescent="0.25">
      <c r="A942" s="104">
        <f t="shared" si="33"/>
        <v>709</v>
      </c>
      <c r="B942" s="212"/>
      <c r="C942" s="148" t="s">
        <v>1040</v>
      </c>
      <c r="D942" s="148" t="s">
        <v>286</v>
      </c>
      <c r="E942" s="148" t="s">
        <v>12</v>
      </c>
      <c r="F942" s="105">
        <v>280.2</v>
      </c>
      <c r="G942" s="105">
        <v>280.2</v>
      </c>
      <c r="H942" s="105">
        <v>0</v>
      </c>
      <c r="I942" s="105">
        <v>0</v>
      </c>
      <c r="J942" s="105">
        <v>0</v>
      </c>
      <c r="K942" s="148" t="s">
        <v>72</v>
      </c>
    </row>
    <row r="943" spans="1:11" s="50" customFormat="1" ht="29.4" customHeight="1" x14ac:dyDescent="0.25">
      <c r="A943" s="104">
        <f t="shared" si="33"/>
        <v>710</v>
      </c>
      <c r="B943" s="212"/>
      <c r="C943" s="148" t="s">
        <v>1041</v>
      </c>
      <c r="D943" s="148" t="s">
        <v>286</v>
      </c>
      <c r="E943" s="148" t="s">
        <v>12</v>
      </c>
      <c r="F943" s="105">
        <v>512</v>
      </c>
      <c r="G943" s="105">
        <v>512</v>
      </c>
      <c r="H943" s="105">
        <v>0</v>
      </c>
      <c r="I943" s="105">
        <v>0</v>
      </c>
      <c r="J943" s="105">
        <v>0</v>
      </c>
      <c r="K943" s="148" t="s">
        <v>72</v>
      </c>
    </row>
    <row r="944" spans="1:11" s="50" customFormat="1" ht="29.4" customHeight="1" x14ac:dyDescent="0.25">
      <c r="A944" s="104">
        <f t="shared" si="33"/>
        <v>711</v>
      </c>
      <c r="B944" s="212"/>
      <c r="C944" s="148" t="s">
        <v>1042</v>
      </c>
      <c r="D944" s="148" t="s">
        <v>481</v>
      </c>
      <c r="E944" s="148" t="s">
        <v>12</v>
      </c>
      <c r="F944" s="105">
        <v>1352</v>
      </c>
      <c r="G944" s="105">
        <v>1352</v>
      </c>
      <c r="H944" s="105">
        <v>0</v>
      </c>
      <c r="I944" s="105">
        <v>0</v>
      </c>
      <c r="J944" s="105">
        <v>0</v>
      </c>
      <c r="K944" s="148" t="s">
        <v>72</v>
      </c>
    </row>
    <row r="945" spans="1:11" s="50" customFormat="1" ht="29.4" customHeight="1" x14ac:dyDescent="0.25">
      <c r="A945" s="104">
        <f t="shared" si="33"/>
        <v>712</v>
      </c>
      <c r="B945" s="212"/>
      <c r="C945" s="148" t="s">
        <v>1043</v>
      </c>
      <c r="D945" s="148" t="s">
        <v>300</v>
      </c>
      <c r="E945" s="148" t="s">
        <v>12</v>
      </c>
      <c r="F945" s="105">
        <v>3430.1</v>
      </c>
      <c r="G945" s="105">
        <v>3430.1</v>
      </c>
      <c r="H945" s="105">
        <v>0</v>
      </c>
      <c r="I945" s="105">
        <v>0</v>
      </c>
      <c r="J945" s="105">
        <v>0</v>
      </c>
      <c r="K945" s="148" t="s">
        <v>72</v>
      </c>
    </row>
    <row r="946" spans="1:11" s="50" customFormat="1" ht="43.2" customHeight="1" x14ac:dyDescent="0.25">
      <c r="A946" s="104">
        <f t="shared" si="33"/>
        <v>713</v>
      </c>
      <c r="B946" s="212"/>
      <c r="C946" s="148" t="s">
        <v>1044</v>
      </c>
      <c r="D946" s="148" t="s">
        <v>298</v>
      </c>
      <c r="E946" s="148" t="s">
        <v>12</v>
      </c>
      <c r="F946" s="105">
        <v>3717.91</v>
      </c>
      <c r="G946" s="105">
        <v>3717.91</v>
      </c>
      <c r="H946" s="105">
        <v>0</v>
      </c>
      <c r="I946" s="105">
        <v>0</v>
      </c>
      <c r="J946" s="105">
        <v>0</v>
      </c>
      <c r="K946" s="148" t="s">
        <v>72</v>
      </c>
    </row>
    <row r="947" spans="1:11" s="50" customFormat="1" ht="29.4" customHeight="1" x14ac:dyDescent="0.25">
      <c r="A947" s="104">
        <f t="shared" si="33"/>
        <v>714</v>
      </c>
      <c r="B947" s="212"/>
      <c r="C947" s="148" t="s">
        <v>1045</v>
      </c>
      <c r="D947" s="148" t="s">
        <v>878</v>
      </c>
      <c r="E947" s="148" t="s">
        <v>12</v>
      </c>
      <c r="F947" s="105">
        <v>1655.86</v>
      </c>
      <c r="G947" s="105">
        <v>1655.86</v>
      </c>
      <c r="H947" s="105">
        <v>0</v>
      </c>
      <c r="I947" s="105">
        <v>0</v>
      </c>
      <c r="J947" s="105">
        <v>0</v>
      </c>
      <c r="K947" s="148" t="s">
        <v>72</v>
      </c>
    </row>
    <row r="948" spans="1:11" s="50" customFormat="1" ht="29.4" customHeight="1" x14ac:dyDescent="0.25">
      <c r="A948" s="104">
        <f t="shared" si="33"/>
        <v>715</v>
      </c>
      <c r="B948" s="212"/>
      <c r="C948" s="148" t="s">
        <v>1046</v>
      </c>
      <c r="D948" s="148" t="s">
        <v>786</v>
      </c>
      <c r="E948" s="148" t="s">
        <v>12</v>
      </c>
      <c r="F948" s="105">
        <v>652.91999999999996</v>
      </c>
      <c r="G948" s="105">
        <v>652.91999999999996</v>
      </c>
      <c r="H948" s="105">
        <v>0</v>
      </c>
      <c r="I948" s="105">
        <v>0</v>
      </c>
      <c r="J948" s="105">
        <v>0</v>
      </c>
      <c r="K948" s="148" t="s">
        <v>72</v>
      </c>
    </row>
    <row r="949" spans="1:11" s="50" customFormat="1" ht="40.799999999999997" customHeight="1" x14ac:dyDescent="0.25">
      <c r="A949" s="104">
        <f t="shared" si="33"/>
        <v>716</v>
      </c>
      <c r="B949" s="212"/>
      <c r="C949" s="148" t="s">
        <v>1047</v>
      </c>
      <c r="D949" s="148" t="s">
        <v>1048</v>
      </c>
      <c r="E949" s="148" t="s">
        <v>12</v>
      </c>
      <c r="F949" s="105">
        <v>411.62400000000002</v>
      </c>
      <c r="G949" s="105">
        <v>411.62400000000002</v>
      </c>
      <c r="H949" s="105">
        <v>0</v>
      </c>
      <c r="I949" s="105">
        <v>0</v>
      </c>
      <c r="J949" s="105">
        <v>0</v>
      </c>
      <c r="K949" s="148" t="s">
        <v>72</v>
      </c>
    </row>
    <row r="950" spans="1:11" s="50" customFormat="1" ht="43.8" customHeight="1" x14ac:dyDescent="0.25">
      <c r="A950" s="104">
        <f t="shared" si="33"/>
        <v>717</v>
      </c>
      <c r="B950" s="212"/>
      <c r="C950" s="148" t="s">
        <v>1049</v>
      </c>
      <c r="D950" s="148" t="s">
        <v>1050</v>
      </c>
      <c r="E950" s="148" t="s">
        <v>12</v>
      </c>
      <c r="F950" s="105">
        <v>902</v>
      </c>
      <c r="G950" s="105">
        <v>902</v>
      </c>
      <c r="H950" s="105">
        <v>0</v>
      </c>
      <c r="I950" s="105">
        <v>0</v>
      </c>
      <c r="J950" s="105">
        <v>0</v>
      </c>
      <c r="K950" s="148" t="s">
        <v>72</v>
      </c>
    </row>
    <row r="951" spans="1:11" s="50" customFormat="1" ht="29.4" customHeight="1" x14ac:dyDescent="0.25">
      <c r="A951" s="104">
        <f t="shared" si="33"/>
        <v>718</v>
      </c>
      <c r="B951" s="212"/>
      <c r="C951" s="148" t="s">
        <v>1051</v>
      </c>
      <c r="D951" s="148" t="s">
        <v>300</v>
      </c>
      <c r="E951" s="148" t="s">
        <v>12</v>
      </c>
      <c r="F951" s="105">
        <v>3430.1</v>
      </c>
      <c r="G951" s="105">
        <v>3430.1</v>
      </c>
      <c r="H951" s="105">
        <v>0</v>
      </c>
      <c r="I951" s="105">
        <v>0</v>
      </c>
      <c r="J951" s="105">
        <v>0</v>
      </c>
      <c r="K951" s="148" t="s">
        <v>72</v>
      </c>
    </row>
    <row r="952" spans="1:11" s="50" customFormat="1" ht="29.4" customHeight="1" x14ac:dyDescent="0.25">
      <c r="A952" s="104">
        <f t="shared" si="33"/>
        <v>719</v>
      </c>
      <c r="B952" s="212"/>
      <c r="C952" s="148" t="s">
        <v>1052</v>
      </c>
      <c r="D952" s="148" t="s">
        <v>243</v>
      </c>
      <c r="E952" s="148" t="s">
        <v>12</v>
      </c>
      <c r="F952" s="105">
        <v>12090.918</v>
      </c>
      <c r="G952" s="105">
        <v>0</v>
      </c>
      <c r="H952" s="105">
        <v>12090.918</v>
      </c>
      <c r="I952" s="105">
        <v>0</v>
      </c>
      <c r="J952" s="105">
        <v>0</v>
      </c>
      <c r="K952" s="148" t="s">
        <v>316</v>
      </c>
    </row>
    <row r="953" spans="1:11" s="50" customFormat="1" ht="29.4" customHeight="1" x14ac:dyDescent="0.25">
      <c r="A953" s="104">
        <f t="shared" si="33"/>
        <v>720</v>
      </c>
      <c r="B953" s="212"/>
      <c r="C953" s="148" t="s">
        <v>1053</v>
      </c>
      <c r="D953" s="148" t="s">
        <v>286</v>
      </c>
      <c r="E953" s="148" t="s">
        <v>12</v>
      </c>
      <c r="F953" s="105">
        <v>2440.9740000000002</v>
      </c>
      <c r="G953" s="105">
        <v>0</v>
      </c>
      <c r="H953" s="105">
        <v>2440.9740000000002</v>
      </c>
      <c r="I953" s="105">
        <v>0</v>
      </c>
      <c r="J953" s="105">
        <v>0</v>
      </c>
      <c r="K953" s="148" t="s">
        <v>316</v>
      </c>
    </row>
    <row r="954" spans="1:11" s="50" customFormat="1" ht="29.4" customHeight="1" x14ac:dyDescent="0.25">
      <c r="A954" s="104">
        <f t="shared" si="33"/>
        <v>721</v>
      </c>
      <c r="B954" s="212"/>
      <c r="C954" s="148" t="s">
        <v>1054</v>
      </c>
      <c r="D954" s="148" t="s">
        <v>286</v>
      </c>
      <c r="E954" s="148" t="s">
        <v>12</v>
      </c>
      <c r="F954" s="105">
        <v>2440.9740000000002</v>
      </c>
      <c r="G954" s="105">
        <v>0</v>
      </c>
      <c r="H954" s="105">
        <v>0</v>
      </c>
      <c r="I954" s="105">
        <v>2440.9740000000002</v>
      </c>
      <c r="J954" s="105">
        <v>0</v>
      </c>
      <c r="K954" s="148" t="s">
        <v>318</v>
      </c>
    </row>
    <row r="955" spans="1:11" s="50" customFormat="1" ht="29.4" customHeight="1" x14ac:dyDescent="0.25">
      <c r="A955" s="104">
        <f t="shared" si="33"/>
        <v>722</v>
      </c>
      <c r="B955" s="212"/>
      <c r="C955" s="148" t="s">
        <v>1055</v>
      </c>
      <c r="D955" s="148" t="s">
        <v>243</v>
      </c>
      <c r="E955" s="148" t="s">
        <v>12</v>
      </c>
      <c r="F955" s="105">
        <v>12090.918</v>
      </c>
      <c r="G955" s="105">
        <v>0</v>
      </c>
      <c r="H955" s="105">
        <v>0</v>
      </c>
      <c r="I955" s="105">
        <v>12090.918</v>
      </c>
      <c r="J955" s="105">
        <v>0</v>
      </c>
      <c r="K955" s="148" t="s">
        <v>318</v>
      </c>
    </row>
    <row r="956" spans="1:11" s="50" customFormat="1" ht="29.4" customHeight="1" x14ac:dyDescent="0.25">
      <c r="A956" s="104">
        <f t="shared" si="33"/>
        <v>723</v>
      </c>
      <c r="B956" s="212"/>
      <c r="C956" s="148" t="s">
        <v>1056</v>
      </c>
      <c r="D956" s="148" t="s">
        <v>755</v>
      </c>
      <c r="E956" s="148" t="s">
        <v>12</v>
      </c>
      <c r="F956" s="105">
        <v>16527.721140000001</v>
      </c>
      <c r="G956" s="105">
        <v>0</v>
      </c>
      <c r="H956" s="105">
        <v>0</v>
      </c>
      <c r="I956" s="105">
        <v>16527.721140000001</v>
      </c>
      <c r="J956" s="105">
        <v>0</v>
      </c>
      <c r="K956" s="148" t="s">
        <v>318</v>
      </c>
    </row>
    <row r="957" spans="1:11" s="47" customFormat="1" ht="15" customHeight="1" x14ac:dyDescent="0.3">
      <c r="A957" s="213" t="s">
        <v>57</v>
      </c>
      <c r="B957" s="213"/>
      <c r="C957" s="213"/>
      <c r="D957" s="213"/>
      <c r="E957" s="147"/>
      <c r="F957" s="106"/>
      <c r="G957" s="107">
        <f>SUM(G936:G956)</f>
        <v>29614.790159999997</v>
      </c>
      <c r="H957" s="107"/>
      <c r="I957" s="107"/>
      <c r="J957" s="107"/>
      <c r="K957" s="147"/>
    </row>
    <row r="958" spans="1:11" s="49" customFormat="1" ht="17.399999999999999" customHeight="1" x14ac:dyDescent="0.3">
      <c r="A958" s="214" t="s">
        <v>62</v>
      </c>
      <c r="B958" s="215"/>
      <c r="C958" s="215"/>
      <c r="D958" s="215"/>
      <c r="E958" s="147"/>
      <c r="F958" s="106"/>
      <c r="G958" s="106"/>
      <c r="H958" s="107">
        <f>SUM(H936:H956)</f>
        <v>14531.892</v>
      </c>
      <c r="I958" s="107"/>
      <c r="J958" s="107"/>
      <c r="K958" s="147"/>
    </row>
    <row r="959" spans="1:11" s="49" customFormat="1" ht="15.6" customHeight="1" x14ac:dyDescent="0.3">
      <c r="A959" s="214" t="s">
        <v>19</v>
      </c>
      <c r="B959" s="215"/>
      <c r="C959" s="215"/>
      <c r="D959" s="215"/>
      <c r="E959" s="147"/>
      <c r="F959" s="106"/>
      <c r="G959" s="106"/>
      <c r="H959" s="107"/>
      <c r="I959" s="107">
        <f>SUM(I936:I956)</f>
        <v>31059.613140000001</v>
      </c>
      <c r="J959" s="107"/>
      <c r="K959" s="147"/>
    </row>
    <row r="960" spans="1:11" s="46" customFormat="1" ht="33.6" customHeight="1" x14ac:dyDescent="0.3">
      <c r="A960" s="104">
        <v>724</v>
      </c>
      <c r="B960" s="209" t="s">
        <v>1057</v>
      </c>
      <c r="C960" s="148" t="s">
        <v>1058</v>
      </c>
      <c r="D960" s="148" t="s">
        <v>700</v>
      </c>
      <c r="E960" s="146" t="s">
        <v>12</v>
      </c>
      <c r="F960" s="105">
        <v>2200</v>
      </c>
      <c r="G960" s="105">
        <v>2200</v>
      </c>
      <c r="H960" s="105">
        <v>0</v>
      </c>
      <c r="I960" s="105">
        <v>0</v>
      </c>
      <c r="J960" s="105">
        <v>0</v>
      </c>
      <c r="K960" s="148" t="s">
        <v>76</v>
      </c>
    </row>
    <row r="961" spans="1:11" s="46" customFormat="1" ht="54" customHeight="1" x14ac:dyDescent="0.3">
      <c r="A961" s="104">
        <f>A960+1</f>
        <v>725</v>
      </c>
      <c r="B961" s="209"/>
      <c r="C961" s="148" t="s">
        <v>1059</v>
      </c>
      <c r="D961" s="148" t="s">
        <v>630</v>
      </c>
      <c r="E961" s="146" t="s">
        <v>12</v>
      </c>
      <c r="F961" s="105">
        <v>2900</v>
      </c>
      <c r="G961" s="105">
        <v>2900</v>
      </c>
      <c r="H961" s="105">
        <v>0</v>
      </c>
      <c r="I961" s="105">
        <v>0</v>
      </c>
      <c r="J961" s="105">
        <v>0</v>
      </c>
      <c r="K961" s="148" t="s">
        <v>72</v>
      </c>
    </row>
    <row r="962" spans="1:11" s="46" customFormat="1" ht="26.4" x14ac:dyDescent="0.3">
      <c r="A962" s="104">
        <f t="shared" ref="A962:A979" si="34">A961+1</f>
        <v>726</v>
      </c>
      <c r="B962" s="209"/>
      <c r="C962" s="148" t="s">
        <v>1060</v>
      </c>
      <c r="D962" s="148" t="s">
        <v>343</v>
      </c>
      <c r="E962" s="146" t="s">
        <v>12</v>
      </c>
      <c r="F962" s="105">
        <v>1976.1137099999999</v>
      </c>
      <c r="G962" s="105">
        <v>768.48299999999995</v>
      </c>
      <c r="H962" s="105">
        <v>1207.6307099999999</v>
      </c>
      <c r="I962" s="105">
        <v>0</v>
      </c>
      <c r="J962" s="105">
        <v>0</v>
      </c>
      <c r="K962" s="148" t="s">
        <v>72</v>
      </c>
    </row>
    <row r="963" spans="1:11" s="46" customFormat="1" ht="70.2" customHeight="1" x14ac:dyDescent="0.3">
      <c r="A963" s="104">
        <f t="shared" si="34"/>
        <v>727</v>
      </c>
      <c r="B963" s="209"/>
      <c r="C963" s="148" t="s">
        <v>1061</v>
      </c>
      <c r="D963" s="148" t="s">
        <v>93</v>
      </c>
      <c r="E963" s="146" t="s">
        <v>12</v>
      </c>
      <c r="F963" s="105">
        <v>1381.2696699999999</v>
      </c>
      <c r="G963" s="105">
        <v>1381.2696699999999</v>
      </c>
      <c r="H963" s="105">
        <v>0</v>
      </c>
      <c r="I963" s="105">
        <v>0</v>
      </c>
      <c r="J963" s="105">
        <v>0</v>
      </c>
      <c r="K963" s="148" t="s">
        <v>76</v>
      </c>
    </row>
    <row r="964" spans="1:11" s="46" customFormat="1" ht="29.4" customHeight="1" x14ac:dyDescent="0.3">
      <c r="A964" s="104">
        <f t="shared" si="34"/>
        <v>728</v>
      </c>
      <c r="B964" s="209"/>
      <c r="C964" s="148" t="s">
        <v>1062</v>
      </c>
      <c r="D964" s="148" t="s">
        <v>323</v>
      </c>
      <c r="E964" s="146" t="s">
        <v>12</v>
      </c>
      <c r="F964" s="105">
        <v>9342.5864999999994</v>
      </c>
      <c r="G964" s="105">
        <v>9342.5864999999994</v>
      </c>
      <c r="H964" s="105">
        <v>0</v>
      </c>
      <c r="I964" s="105">
        <v>0</v>
      </c>
      <c r="J964" s="105">
        <v>0</v>
      </c>
      <c r="K964" s="148" t="s">
        <v>72</v>
      </c>
    </row>
    <row r="965" spans="1:11" s="46" customFormat="1" ht="35.4" customHeight="1" x14ac:dyDescent="0.3">
      <c r="A965" s="104">
        <f t="shared" si="34"/>
        <v>729</v>
      </c>
      <c r="B965" s="209"/>
      <c r="C965" s="148" t="s">
        <v>1063</v>
      </c>
      <c r="D965" s="148" t="s">
        <v>300</v>
      </c>
      <c r="E965" s="146" t="s">
        <v>12</v>
      </c>
      <c r="F965" s="105">
        <v>7539.9285</v>
      </c>
      <c r="G965" s="105">
        <v>7539.9285</v>
      </c>
      <c r="H965" s="105">
        <v>0</v>
      </c>
      <c r="I965" s="105">
        <v>0</v>
      </c>
      <c r="J965" s="105">
        <v>0</v>
      </c>
      <c r="K965" s="148" t="s">
        <v>72</v>
      </c>
    </row>
    <row r="966" spans="1:11" s="46" customFormat="1" ht="36" customHeight="1" x14ac:dyDescent="0.3">
      <c r="A966" s="104">
        <f t="shared" si="34"/>
        <v>730</v>
      </c>
      <c r="B966" s="209"/>
      <c r="C966" s="148" t="s">
        <v>1064</v>
      </c>
      <c r="D966" s="148" t="s">
        <v>229</v>
      </c>
      <c r="E966" s="146" t="s">
        <v>12</v>
      </c>
      <c r="F966" s="105">
        <v>1354.3074999999999</v>
      </c>
      <c r="G966" s="105">
        <v>1354.3074999999999</v>
      </c>
      <c r="H966" s="105">
        <v>0</v>
      </c>
      <c r="I966" s="105">
        <v>0</v>
      </c>
      <c r="J966" s="105">
        <v>0</v>
      </c>
      <c r="K966" s="148" t="s">
        <v>76</v>
      </c>
    </row>
    <row r="967" spans="1:11" s="46" customFormat="1" ht="26.4" x14ac:dyDescent="0.3">
      <c r="A967" s="104">
        <f t="shared" si="34"/>
        <v>731</v>
      </c>
      <c r="B967" s="209"/>
      <c r="C967" s="148" t="s">
        <v>1065</v>
      </c>
      <c r="D967" s="148" t="s">
        <v>1066</v>
      </c>
      <c r="E967" s="146" t="s">
        <v>12</v>
      </c>
      <c r="F967" s="105">
        <v>2000</v>
      </c>
      <c r="G967" s="105">
        <v>2000</v>
      </c>
      <c r="H967" s="105">
        <v>0</v>
      </c>
      <c r="I967" s="105">
        <v>0</v>
      </c>
      <c r="J967" s="105">
        <v>0</v>
      </c>
      <c r="K967" s="148" t="s">
        <v>76</v>
      </c>
    </row>
    <row r="968" spans="1:11" s="46" customFormat="1" ht="36" customHeight="1" x14ac:dyDescent="0.3">
      <c r="A968" s="104">
        <f t="shared" si="34"/>
        <v>732</v>
      </c>
      <c r="B968" s="209"/>
      <c r="C968" s="148" t="s">
        <v>1067</v>
      </c>
      <c r="D968" s="148" t="s">
        <v>295</v>
      </c>
      <c r="E968" s="146" t="s">
        <v>12</v>
      </c>
      <c r="F968" s="105">
        <v>3125.5839999999998</v>
      </c>
      <c r="G968" s="105">
        <v>1488.2560000000001</v>
      </c>
      <c r="H968" s="105">
        <v>1637.328</v>
      </c>
      <c r="I968" s="105">
        <v>0</v>
      </c>
      <c r="J968" s="105">
        <v>0</v>
      </c>
      <c r="K968" s="148" t="s">
        <v>72</v>
      </c>
    </row>
    <row r="969" spans="1:11" s="46" customFormat="1" ht="26.4" x14ac:dyDescent="0.3">
      <c r="A969" s="104">
        <f t="shared" si="34"/>
        <v>733</v>
      </c>
      <c r="B969" s="209"/>
      <c r="C969" s="148" t="s">
        <v>1068</v>
      </c>
      <c r="D969" s="148" t="s">
        <v>323</v>
      </c>
      <c r="E969" s="146" t="s">
        <v>12</v>
      </c>
      <c r="F969" s="105">
        <v>8046.0111100000004</v>
      </c>
      <c r="G969" s="105">
        <v>8046.0111100000004</v>
      </c>
      <c r="H969" s="105">
        <v>0</v>
      </c>
      <c r="I969" s="105">
        <v>0</v>
      </c>
      <c r="J969" s="105">
        <v>0</v>
      </c>
      <c r="K969" s="148" t="s">
        <v>72</v>
      </c>
    </row>
    <row r="970" spans="1:11" s="46" customFormat="1" ht="50.4" customHeight="1" x14ac:dyDescent="0.3">
      <c r="A970" s="104">
        <f t="shared" si="34"/>
        <v>734</v>
      </c>
      <c r="B970" s="209"/>
      <c r="C970" s="148" t="s">
        <v>1069</v>
      </c>
      <c r="D970" s="148" t="s">
        <v>630</v>
      </c>
      <c r="E970" s="146" t="s">
        <v>12</v>
      </c>
      <c r="F970" s="105">
        <v>2050.0032000000001</v>
      </c>
      <c r="G970" s="105">
        <v>2050.0032000000001</v>
      </c>
      <c r="H970" s="105">
        <v>0</v>
      </c>
      <c r="I970" s="105">
        <v>0</v>
      </c>
      <c r="J970" s="105">
        <v>0</v>
      </c>
      <c r="K970" s="148" t="s">
        <v>72</v>
      </c>
    </row>
    <row r="971" spans="1:11" s="46" customFormat="1" ht="37.200000000000003" customHeight="1" x14ac:dyDescent="0.3">
      <c r="A971" s="104">
        <f t="shared" si="34"/>
        <v>735</v>
      </c>
      <c r="B971" s="209"/>
      <c r="C971" s="148" t="s">
        <v>1070</v>
      </c>
      <c r="D971" s="148" t="s">
        <v>49</v>
      </c>
      <c r="E971" s="146" t="s">
        <v>12</v>
      </c>
      <c r="F971" s="105">
        <v>2270.1743999999999</v>
      </c>
      <c r="G971" s="105">
        <v>2009.7629999999999</v>
      </c>
      <c r="H971" s="105">
        <v>260.41140000000001</v>
      </c>
      <c r="I971" s="105">
        <v>0</v>
      </c>
      <c r="J971" s="105">
        <v>0</v>
      </c>
      <c r="K971" s="148" t="s">
        <v>72</v>
      </c>
    </row>
    <row r="972" spans="1:11" s="46" customFormat="1" ht="37.200000000000003" customHeight="1" x14ac:dyDescent="0.3">
      <c r="A972" s="104">
        <f t="shared" si="34"/>
        <v>736</v>
      </c>
      <c r="B972" s="209"/>
      <c r="C972" s="148" t="s">
        <v>1071</v>
      </c>
      <c r="D972" s="148" t="s">
        <v>323</v>
      </c>
      <c r="E972" s="146" t="s">
        <v>12</v>
      </c>
      <c r="F972" s="105">
        <v>10212.9339</v>
      </c>
      <c r="G972" s="105">
        <v>10212.9339</v>
      </c>
      <c r="H972" s="105">
        <v>0</v>
      </c>
      <c r="I972" s="105">
        <v>0</v>
      </c>
      <c r="J972" s="105">
        <v>0</v>
      </c>
      <c r="K972" s="148" t="s">
        <v>72</v>
      </c>
    </row>
    <row r="973" spans="1:11" s="46" customFormat="1" ht="36" customHeight="1" x14ac:dyDescent="0.3">
      <c r="A973" s="104">
        <f t="shared" si="34"/>
        <v>737</v>
      </c>
      <c r="B973" s="209"/>
      <c r="C973" s="148" t="s">
        <v>1072</v>
      </c>
      <c r="D973" s="148" t="s">
        <v>323</v>
      </c>
      <c r="E973" s="146" t="s">
        <v>12</v>
      </c>
      <c r="F973" s="105">
        <v>8925.0524999999998</v>
      </c>
      <c r="G973" s="105">
        <v>8925.0524999999998</v>
      </c>
      <c r="H973" s="105">
        <v>0</v>
      </c>
      <c r="I973" s="105">
        <v>0</v>
      </c>
      <c r="J973" s="105">
        <v>0</v>
      </c>
      <c r="K973" s="148" t="s">
        <v>72</v>
      </c>
    </row>
    <row r="974" spans="1:11" s="46" customFormat="1" ht="40.200000000000003" customHeight="1" x14ac:dyDescent="0.3">
      <c r="A974" s="104">
        <f t="shared" si="34"/>
        <v>738</v>
      </c>
      <c r="B974" s="209"/>
      <c r="C974" s="148" t="s">
        <v>1073</v>
      </c>
      <c r="D974" s="148" t="s">
        <v>243</v>
      </c>
      <c r="E974" s="146" t="s">
        <v>12</v>
      </c>
      <c r="F974" s="105">
        <v>13928.2716</v>
      </c>
      <c r="G974" s="105">
        <v>0</v>
      </c>
      <c r="H974" s="105">
        <v>13928.2716</v>
      </c>
      <c r="I974" s="105">
        <v>0</v>
      </c>
      <c r="J974" s="105">
        <v>0</v>
      </c>
      <c r="K974" s="148" t="s">
        <v>316</v>
      </c>
    </row>
    <row r="975" spans="1:11" s="46" customFormat="1" ht="26.4" x14ac:dyDescent="0.3">
      <c r="A975" s="104">
        <f t="shared" si="34"/>
        <v>739</v>
      </c>
      <c r="B975" s="209"/>
      <c r="C975" s="148" t="s">
        <v>1074</v>
      </c>
      <c r="D975" s="148" t="s">
        <v>394</v>
      </c>
      <c r="E975" s="146" t="s">
        <v>12</v>
      </c>
      <c r="F975" s="105">
        <v>19000</v>
      </c>
      <c r="G975" s="105">
        <v>0</v>
      </c>
      <c r="H975" s="105">
        <v>19000</v>
      </c>
      <c r="I975" s="105">
        <v>0</v>
      </c>
      <c r="J975" s="105">
        <v>0</v>
      </c>
      <c r="K975" s="148" t="s">
        <v>282</v>
      </c>
    </row>
    <row r="976" spans="1:11" s="46" customFormat="1" ht="61.8" customHeight="1" x14ac:dyDescent="0.3">
      <c r="A976" s="104">
        <f t="shared" si="34"/>
        <v>740</v>
      </c>
      <c r="B976" s="209"/>
      <c r="C976" s="148" t="s">
        <v>1075</v>
      </c>
      <c r="D976" s="148" t="s">
        <v>93</v>
      </c>
      <c r="E976" s="146" t="s">
        <v>12</v>
      </c>
      <c r="F976" s="105">
        <v>11969.83145</v>
      </c>
      <c r="G976" s="105">
        <v>0</v>
      </c>
      <c r="H976" s="105">
        <v>11969.83145</v>
      </c>
      <c r="I976" s="105">
        <v>0</v>
      </c>
      <c r="J976" s="105">
        <v>0</v>
      </c>
      <c r="K976" s="148" t="s">
        <v>282</v>
      </c>
    </row>
    <row r="977" spans="1:11" s="46" customFormat="1" ht="26.4" x14ac:dyDescent="0.3">
      <c r="A977" s="104">
        <f t="shared" si="34"/>
        <v>741</v>
      </c>
      <c r="B977" s="209"/>
      <c r="C977" s="148" t="s">
        <v>1076</v>
      </c>
      <c r="D977" s="148" t="s">
        <v>394</v>
      </c>
      <c r="E977" s="146" t="s">
        <v>12</v>
      </c>
      <c r="F977" s="105">
        <v>19000</v>
      </c>
      <c r="G977" s="105">
        <v>0</v>
      </c>
      <c r="H977" s="105">
        <v>0</v>
      </c>
      <c r="I977" s="105">
        <v>19000</v>
      </c>
      <c r="J977" s="105">
        <v>0</v>
      </c>
      <c r="K977" s="148" t="s">
        <v>318</v>
      </c>
    </row>
    <row r="978" spans="1:11" s="46" customFormat="1" ht="64.8" customHeight="1" x14ac:dyDescent="0.3">
      <c r="A978" s="104">
        <f t="shared" si="34"/>
        <v>742</v>
      </c>
      <c r="B978" s="209"/>
      <c r="C978" s="148" t="s">
        <v>1077</v>
      </c>
      <c r="D978" s="148" t="s">
        <v>93</v>
      </c>
      <c r="E978" s="146" t="s">
        <v>12</v>
      </c>
      <c r="F978" s="105">
        <v>11969.83145</v>
      </c>
      <c r="G978" s="105">
        <v>0</v>
      </c>
      <c r="H978" s="105">
        <v>0</v>
      </c>
      <c r="I978" s="105">
        <v>11969.83145</v>
      </c>
      <c r="J978" s="105">
        <v>0</v>
      </c>
      <c r="K978" s="148" t="s">
        <v>318</v>
      </c>
    </row>
    <row r="979" spans="1:11" s="46" customFormat="1" ht="26.4" x14ac:dyDescent="0.3">
      <c r="A979" s="104">
        <f t="shared" si="34"/>
        <v>743</v>
      </c>
      <c r="B979" s="209"/>
      <c r="C979" s="148" t="s">
        <v>1078</v>
      </c>
      <c r="D979" s="148" t="s">
        <v>243</v>
      </c>
      <c r="E979" s="146" t="s">
        <v>12</v>
      </c>
      <c r="F979" s="105">
        <v>19000</v>
      </c>
      <c r="G979" s="105">
        <v>0</v>
      </c>
      <c r="H979" s="105">
        <v>0</v>
      </c>
      <c r="I979" s="105">
        <v>19000</v>
      </c>
      <c r="J979" s="105">
        <v>0</v>
      </c>
      <c r="K979" s="148" t="s">
        <v>359</v>
      </c>
    </row>
    <row r="980" spans="1:11" s="47" customFormat="1" ht="16.2" customHeight="1" x14ac:dyDescent="0.3">
      <c r="A980" s="213" t="s">
        <v>57</v>
      </c>
      <c r="B980" s="213"/>
      <c r="C980" s="213"/>
      <c r="D980" s="213"/>
      <c r="E980" s="147"/>
      <c r="F980" s="106"/>
      <c r="G980" s="107">
        <f>SUM(G960:G979)</f>
        <v>60218.594879999997</v>
      </c>
      <c r="H980" s="107"/>
      <c r="I980" s="107"/>
      <c r="J980" s="107"/>
      <c r="K980" s="147"/>
    </row>
    <row r="981" spans="1:11" s="49" customFormat="1" ht="15" customHeight="1" x14ac:dyDescent="0.3">
      <c r="A981" s="214" t="s">
        <v>62</v>
      </c>
      <c r="B981" s="215"/>
      <c r="C981" s="215"/>
      <c r="D981" s="215"/>
      <c r="E981" s="147"/>
      <c r="F981" s="106"/>
      <c r="G981" s="106"/>
      <c r="H981" s="107">
        <f>SUM(H960:H979)</f>
        <v>48003.473159999994</v>
      </c>
      <c r="I981" s="107"/>
      <c r="J981" s="107"/>
      <c r="K981" s="147"/>
    </row>
    <row r="982" spans="1:11" s="49" customFormat="1" ht="16.2" customHeight="1" x14ac:dyDescent="0.3">
      <c r="A982" s="214" t="s">
        <v>19</v>
      </c>
      <c r="B982" s="215"/>
      <c r="C982" s="215"/>
      <c r="D982" s="215"/>
      <c r="E982" s="147"/>
      <c r="F982" s="106"/>
      <c r="G982" s="106"/>
      <c r="H982" s="107"/>
      <c r="I982" s="107">
        <f>SUM(I960:I979)</f>
        <v>49969.831449999998</v>
      </c>
      <c r="J982" s="107"/>
      <c r="K982" s="147"/>
    </row>
    <row r="983" spans="1:11" s="46" customFormat="1" ht="37.799999999999997" customHeight="1" x14ac:dyDescent="0.3">
      <c r="A983" s="104">
        <v>744</v>
      </c>
      <c r="B983" s="209" t="s">
        <v>1079</v>
      </c>
      <c r="C983" s="148" t="s">
        <v>1080</v>
      </c>
      <c r="D983" s="148" t="s">
        <v>323</v>
      </c>
      <c r="E983" s="146" t="s">
        <v>12</v>
      </c>
      <c r="F983" s="105">
        <v>9689.7490399999988</v>
      </c>
      <c r="G983" s="105">
        <v>9689.7490399999988</v>
      </c>
      <c r="H983" s="105">
        <v>0</v>
      </c>
      <c r="I983" s="105">
        <v>0</v>
      </c>
      <c r="J983" s="105">
        <v>0</v>
      </c>
      <c r="K983" s="148" t="s">
        <v>72</v>
      </c>
    </row>
    <row r="984" spans="1:11" s="46" customFormat="1" ht="43.2" customHeight="1" x14ac:dyDescent="0.3">
      <c r="A984" s="104">
        <f>A983+1</f>
        <v>745</v>
      </c>
      <c r="B984" s="209"/>
      <c r="C984" s="148" t="s">
        <v>1081</v>
      </c>
      <c r="D984" s="148" t="s">
        <v>1082</v>
      </c>
      <c r="E984" s="146" t="s">
        <v>12</v>
      </c>
      <c r="F984" s="105">
        <v>1447.5</v>
      </c>
      <c r="G984" s="105">
        <v>1447.5</v>
      </c>
      <c r="H984" s="105">
        <v>0</v>
      </c>
      <c r="I984" s="105">
        <v>0</v>
      </c>
      <c r="J984" s="105">
        <v>0</v>
      </c>
      <c r="K984" s="148" t="s">
        <v>72</v>
      </c>
    </row>
    <row r="985" spans="1:11" s="46" customFormat="1" ht="74.400000000000006" customHeight="1" x14ac:dyDescent="0.3">
      <c r="A985" s="104">
        <f t="shared" ref="A985:A992" si="35">A984+1</f>
        <v>746</v>
      </c>
      <c r="B985" s="209"/>
      <c r="C985" s="148" t="s">
        <v>1083</v>
      </c>
      <c r="D985" s="148" t="s">
        <v>1084</v>
      </c>
      <c r="E985" s="146" t="s">
        <v>12</v>
      </c>
      <c r="F985" s="105">
        <v>300</v>
      </c>
      <c r="G985" s="105">
        <v>300</v>
      </c>
      <c r="H985" s="105">
        <v>0</v>
      </c>
      <c r="I985" s="105">
        <v>0</v>
      </c>
      <c r="J985" s="105">
        <v>0</v>
      </c>
      <c r="K985" s="148" t="s">
        <v>114</v>
      </c>
    </row>
    <row r="986" spans="1:11" s="46" customFormat="1" ht="36" customHeight="1" x14ac:dyDescent="0.3">
      <c r="A986" s="104">
        <f t="shared" si="35"/>
        <v>747</v>
      </c>
      <c r="B986" s="209"/>
      <c r="C986" s="148" t="s">
        <v>1085</v>
      </c>
      <c r="D986" s="148" t="s">
        <v>323</v>
      </c>
      <c r="E986" s="146" t="s">
        <v>12</v>
      </c>
      <c r="F986" s="105">
        <v>10150.330810000001</v>
      </c>
      <c r="G986" s="105">
        <v>10150.330810000001</v>
      </c>
      <c r="H986" s="105">
        <v>0</v>
      </c>
      <c r="I986" s="105">
        <v>0</v>
      </c>
      <c r="J986" s="105">
        <v>0</v>
      </c>
      <c r="K986" s="148" t="s">
        <v>72</v>
      </c>
    </row>
    <row r="987" spans="1:11" s="46" customFormat="1" ht="36" customHeight="1" x14ac:dyDescent="0.3">
      <c r="A987" s="104">
        <f t="shared" si="35"/>
        <v>748</v>
      </c>
      <c r="B987" s="209"/>
      <c r="C987" s="148" t="s">
        <v>1086</v>
      </c>
      <c r="D987" s="148" t="s">
        <v>1087</v>
      </c>
      <c r="E987" s="146" t="s">
        <v>12</v>
      </c>
      <c r="F987" s="105">
        <v>800</v>
      </c>
      <c r="G987" s="105">
        <v>800</v>
      </c>
      <c r="H987" s="105">
        <v>0</v>
      </c>
      <c r="I987" s="105">
        <v>0</v>
      </c>
      <c r="J987" s="105">
        <v>0</v>
      </c>
      <c r="K987" s="148" t="s">
        <v>72</v>
      </c>
    </row>
    <row r="988" spans="1:11" s="46" customFormat="1" ht="48.6" customHeight="1" x14ac:dyDescent="0.3">
      <c r="A988" s="104">
        <f t="shared" si="35"/>
        <v>749</v>
      </c>
      <c r="B988" s="209"/>
      <c r="C988" s="148" t="s">
        <v>1088</v>
      </c>
      <c r="D988" s="148" t="s">
        <v>885</v>
      </c>
      <c r="E988" s="146" t="s">
        <v>12</v>
      </c>
      <c r="F988" s="105">
        <v>21.977640000000001</v>
      </c>
      <c r="G988" s="105">
        <v>9.7678399999999996</v>
      </c>
      <c r="H988" s="105">
        <v>12.2098</v>
      </c>
      <c r="I988" s="105">
        <v>0</v>
      </c>
      <c r="J988" s="105">
        <v>0</v>
      </c>
      <c r="K988" s="148" t="s">
        <v>72</v>
      </c>
    </row>
    <row r="989" spans="1:11" s="46" customFormat="1" ht="26.4" x14ac:dyDescent="0.3">
      <c r="A989" s="104">
        <f t="shared" si="35"/>
        <v>750</v>
      </c>
      <c r="B989" s="209"/>
      <c r="C989" s="148" t="s">
        <v>1089</v>
      </c>
      <c r="D989" s="148" t="s">
        <v>755</v>
      </c>
      <c r="E989" s="146" t="s">
        <v>12</v>
      </c>
      <c r="F989" s="105">
        <v>12516.67418</v>
      </c>
      <c r="G989" s="105">
        <v>0</v>
      </c>
      <c r="H989" s="105">
        <v>12516.67418</v>
      </c>
      <c r="I989" s="105">
        <v>0</v>
      </c>
      <c r="J989" s="105">
        <v>0</v>
      </c>
      <c r="K989" s="148" t="s">
        <v>282</v>
      </c>
    </row>
    <row r="990" spans="1:11" s="46" customFormat="1" ht="26.4" x14ac:dyDescent="0.3">
      <c r="A990" s="104">
        <f t="shared" si="35"/>
        <v>751</v>
      </c>
      <c r="B990" s="209"/>
      <c r="C990" s="148" t="s">
        <v>1090</v>
      </c>
      <c r="D990" s="148" t="s">
        <v>243</v>
      </c>
      <c r="E990" s="146" t="s">
        <v>12</v>
      </c>
      <c r="F990" s="105">
        <v>11301.951999999999</v>
      </c>
      <c r="G990" s="105">
        <v>0</v>
      </c>
      <c r="H990" s="105">
        <v>11301.951999999999</v>
      </c>
      <c r="I990" s="105">
        <v>0</v>
      </c>
      <c r="J990" s="105">
        <v>0</v>
      </c>
      <c r="K990" s="148" t="s">
        <v>316</v>
      </c>
    </row>
    <row r="991" spans="1:11" s="46" customFormat="1" ht="26.4" x14ac:dyDescent="0.3">
      <c r="A991" s="104">
        <f t="shared" si="35"/>
        <v>752</v>
      </c>
      <c r="B991" s="209"/>
      <c r="C991" s="148" t="s">
        <v>1091</v>
      </c>
      <c r="D991" s="148" t="s">
        <v>755</v>
      </c>
      <c r="E991" s="146" t="s">
        <v>12</v>
      </c>
      <c r="F991" s="105">
        <v>12516.67418</v>
      </c>
      <c r="G991" s="105">
        <v>0</v>
      </c>
      <c r="H991" s="105">
        <v>0</v>
      </c>
      <c r="I991" s="105">
        <v>12516.67418</v>
      </c>
      <c r="J991" s="105">
        <v>0</v>
      </c>
      <c r="K991" s="148" t="s">
        <v>318</v>
      </c>
    </row>
    <row r="992" spans="1:11" s="46" customFormat="1" ht="26.4" x14ac:dyDescent="0.3">
      <c r="A992" s="104">
        <f t="shared" si="35"/>
        <v>753</v>
      </c>
      <c r="B992" s="209"/>
      <c r="C992" s="148" t="s">
        <v>1092</v>
      </c>
      <c r="D992" s="148" t="s">
        <v>243</v>
      </c>
      <c r="E992" s="146" t="s">
        <v>12</v>
      </c>
      <c r="F992" s="105">
        <v>11301.951999999999</v>
      </c>
      <c r="G992" s="105">
        <v>0</v>
      </c>
      <c r="H992" s="105">
        <v>0</v>
      </c>
      <c r="I992" s="105">
        <v>11301.951999999999</v>
      </c>
      <c r="J992" s="105">
        <v>0</v>
      </c>
      <c r="K992" s="148" t="s">
        <v>359</v>
      </c>
    </row>
    <row r="993" spans="1:11" s="47" customFormat="1" ht="15.6" customHeight="1" x14ac:dyDescent="0.3">
      <c r="A993" s="213" t="s">
        <v>57</v>
      </c>
      <c r="B993" s="213"/>
      <c r="C993" s="213"/>
      <c r="D993" s="213"/>
      <c r="E993" s="147"/>
      <c r="F993" s="106"/>
      <c r="G993" s="107">
        <f>SUM(G983:G992)</f>
        <v>22397.347690000002</v>
      </c>
      <c r="H993" s="107"/>
      <c r="I993" s="107"/>
      <c r="J993" s="107"/>
      <c r="K993" s="147"/>
    </row>
    <row r="994" spans="1:11" s="49" customFormat="1" ht="15.6" customHeight="1" x14ac:dyDescent="0.3">
      <c r="A994" s="214" t="s">
        <v>62</v>
      </c>
      <c r="B994" s="215"/>
      <c r="C994" s="215"/>
      <c r="D994" s="215"/>
      <c r="E994" s="147"/>
      <c r="F994" s="106"/>
      <c r="G994" s="106"/>
      <c r="H994" s="107">
        <f>SUM(H983:H992)</f>
        <v>23830.83598</v>
      </c>
      <c r="I994" s="107"/>
      <c r="J994" s="107"/>
      <c r="K994" s="147"/>
    </row>
    <row r="995" spans="1:11" s="49" customFormat="1" ht="15.6" customHeight="1" x14ac:dyDescent="0.3">
      <c r="A995" s="214" t="s">
        <v>19</v>
      </c>
      <c r="B995" s="215"/>
      <c r="C995" s="215"/>
      <c r="D995" s="215"/>
      <c r="E995" s="147"/>
      <c r="F995" s="106"/>
      <c r="G995" s="106"/>
      <c r="H995" s="107"/>
      <c r="I995" s="107">
        <f>SUM(I983:I992)</f>
        <v>23818.626179999999</v>
      </c>
      <c r="J995" s="107"/>
      <c r="K995" s="147"/>
    </row>
    <row r="996" spans="1:11" s="46" customFormat="1" ht="40.799999999999997" customHeight="1" x14ac:dyDescent="0.3">
      <c r="A996" s="104">
        <v>754</v>
      </c>
      <c r="B996" s="209" t="s">
        <v>1093</v>
      </c>
      <c r="C996" s="148" t="s">
        <v>1094</v>
      </c>
      <c r="D996" s="148" t="s">
        <v>394</v>
      </c>
      <c r="E996" s="146" t="s">
        <v>12</v>
      </c>
      <c r="F996" s="105">
        <v>5479</v>
      </c>
      <c r="G996" s="105">
        <v>5479</v>
      </c>
      <c r="H996" s="105">
        <v>0</v>
      </c>
      <c r="I996" s="105">
        <v>0</v>
      </c>
      <c r="J996" s="105">
        <v>0</v>
      </c>
      <c r="K996" s="148" t="s">
        <v>72</v>
      </c>
    </row>
    <row r="997" spans="1:11" s="46" customFormat="1" ht="26.4" x14ac:dyDescent="0.3">
      <c r="A997" s="104">
        <f>A996+1</f>
        <v>755</v>
      </c>
      <c r="B997" s="209"/>
      <c r="C997" s="148" t="s">
        <v>1095</v>
      </c>
      <c r="D997" s="148" t="s">
        <v>878</v>
      </c>
      <c r="E997" s="146" t="s">
        <v>12</v>
      </c>
      <c r="F997" s="105">
        <v>8667.16</v>
      </c>
      <c r="G997" s="105">
        <v>8667.16</v>
      </c>
      <c r="H997" s="105">
        <v>0</v>
      </c>
      <c r="I997" s="105">
        <v>0</v>
      </c>
      <c r="J997" s="105">
        <v>0</v>
      </c>
      <c r="K997" s="148" t="s">
        <v>72</v>
      </c>
    </row>
    <row r="998" spans="1:11" s="46" customFormat="1" ht="51.6" customHeight="1" x14ac:dyDescent="0.3">
      <c r="A998" s="104">
        <f t="shared" ref="A998:A1011" si="36">A997+1</f>
        <v>756</v>
      </c>
      <c r="B998" s="209"/>
      <c r="C998" s="148" t="s">
        <v>1096</v>
      </c>
      <c r="D998" s="148" t="s">
        <v>630</v>
      </c>
      <c r="E998" s="146" t="s">
        <v>12</v>
      </c>
      <c r="F998" s="105">
        <v>2133.8112000000001</v>
      </c>
      <c r="G998" s="105">
        <v>2133.8112000000001</v>
      </c>
      <c r="H998" s="105">
        <v>0</v>
      </c>
      <c r="I998" s="105">
        <v>0</v>
      </c>
      <c r="J998" s="105">
        <v>0</v>
      </c>
      <c r="K998" s="148" t="s">
        <v>72</v>
      </c>
    </row>
    <row r="999" spans="1:11" s="46" customFormat="1" ht="41.4" customHeight="1" x14ac:dyDescent="0.3">
      <c r="A999" s="104">
        <f t="shared" si="36"/>
        <v>757</v>
      </c>
      <c r="B999" s="209"/>
      <c r="C999" s="148" t="s">
        <v>1097</v>
      </c>
      <c r="D999" s="148" t="s">
        <v>1098</v>
      </c>
      <c r="E999" s="146" t="s">
        <v>12</v>
      </c>
      <c r="F999" s="105">
        <v>2200</v>
      </c>
      <c r="G999" s="105">
        <v>2200</v>
      </c>
      <c r="H999" s="105">
        <v>0</v>
      </c>
      <c r="I999" s="105">
        <v>0</v>
      </c>
      <c r="J999" s="105">
        <v>0</v>
      </c>
      <c r="K999" s="148" t="s">
        <v>76</v>
      </c>
    </row>
    <row r="1000" spans="1:11" s="46" customFormat="1" ht="26.4" x14ac:dyDescent="0.3">
      <c r="A1000" s="104">
        <f t="shared" si="36"/>
        <v>758</v>
      </c>
      <c r="B1000" s="209"/>
      <c r="C1000" s="148" t="s">
        <v>1099</v>
      </c>
      <c r="D1000" s="148" t="s">
        <v>91</v>
      </c>
      <c r="E1000" s="146" t="s">
        <v>12</v>
      </c>
      <c r="F1000" s="105">
        <v>50.4</v>
      </c>
      <c r="G1000" s="105">
        <v>50.4</v>
      </c>
      <c r="H1000" s="105">
        <v>0</v>
      </c>
      <c r="I1000" s="105">
        <v>0</v>
      </c>
      <c r="J1000" s="105">
        <v>0</v>
      </c>
      <c r="K1000" s="148" t="s">
        <v>72</v>
      </c>
    </row>
    <row r="1001" spans="1:11" s="46" customFormat="1" ht="26.4" x14ac:dyDescent="0.3">
      <c r="A1001" s="104">
        <f t="shared" si="36"/>
        <v>759</v>
      </c>
      <c r="B1001" s="209"/>
      <c r="C1001" s="148" t="s">
        <v>1100</v>
      </c>
      <c r="D1001" s="148" t="s">
        <v>286</v>
      </c>
      <c r="E1001" s="146" t="s">
        <v>12</v>
      </c>
      <c r="F1001" s="105">
        <v>1681.75</v>
      </c>
      <c r="G1001" s="105">
        <v>1681.75</v>
      </c>
      <c r="H1001" s="105">
        <v>0</v>
      </c>
      <c r="I1001" s="105">
        <v>0</v>
      </c>
      <c r="J1001" s="105">
        <v>0</v>
      </c>
      <c r="K1001" s="148" t="s">
        <v>72</v>
      </c>
    </row>
    <row r="1002" spans="1:11" s="46" customFormat="1" ht="32.4" customHeight="1" x14ac:dyDescent="0.3">
      <c r="A1002" s="104">
        <f t="shared" si="36"/>
        <v>760</v>
      </c>
      <c r="B1002" s="209"/>
      <c r="C1002" s="148" t="s">
        <v>1101</v>
      </c>
      <c r="D1002" s="148" t="s">
        <v>286</v>
      </c>
      <c r="E1002" s="146" t="s">
        <v>12</v>
      </c>
      <c r="F1002" s="105">
        <v>1319</v>
      </c>
      <c r="G1002" s="105">
        <v>1319</v>
      </c>
      <c r="H1002" s="105">
        <v>0</v>
      </c>
      <c r="I1002" s="105">
        <v>0</v>
      </c>
      <c r="J1002" s="105">
        <v>0</v>
      </c>
      <c r="K1002" s="148" t="s">
        <v>72</v>
      </c>
    </row>
    <row r="1003" spans="1:11" s="46" customFormat="1" ht="26.4" x14ac:dyDescent="0.3">
      <c r="A1003" s="104">
        <f t="shared" si="36"/>
        <v>761</v>
      </c>
      <c r="B1003" s="209"/>
      <c r="C1003" s="148" t="s">
        <v>1102</v>
      </c>
      <c r="D1003" s="148" t="s">
        <v>235</v>
      </c>
      <c r="E1003" s="146" t="s">
        <v>12</v>
      </c>
      <c r="F1003" s="105">
        <v>2000</v>
      </c>
      <c r="G1003" s="105">
        <v>2000</v>
      </c>
      <c r="H1003" s="105">
        <v>0</v>
      </c>
      <c r="I1003" s="105">
        <v>0</v>
      </c>
      <c r="J1003" s="105">
        <v>0</v>
      </c>
      <c r="K1003" s="148" t="s">
        <v>72</v>
      </c>
    </row>
    <row r="1004" spans="1:11" s="46" customFormat="1" ht="35.4" customHeight="1" x14ac:dyDescent="0.3">
      <c r="A1004" s="104">
        <f t="shared" si="36"/>
        <v>762</v>
      </c>
      <c r="B1004" s="209"/>
      <c r="C1004" s="148" t="s">
        <v>1103</v>
      </c>
      <c r="D1004" s="148" t="s">
        <v>878</v>
      </c>
      <c r="E1004" s="146" t="s">
        <v>12</v>
      </c>
      <c r="F1004" s="105">
        <v>17868.068190000002</v>
      </c>
      <c r="G1004" s="105">
        <v>17868.068190000002</v>
      </c>
      <c r="H1004" s="105">
        <v>0</v>
      </c>
      <c r="I1004" s="105">
        <v>0</v>
      </c>
      <c r="J1004" s="105">
        <v>0</v>
      </c>
      <c r="K1004" s="148" t="s">
        <v>72</v>
      </c>
    </row>
    <row r="1005" spans="1:11" s="46" customFormat="1" ht="43.8" customHeight="1" x14ac:dyDescent="0.3">
      <c r="A1005" s="104">
        <f t="shared" si="36"/>
        <v>763</v>
      </c>
      <c r="B1005" s="209"/>
      <c r="C1005" s="148" t="s">
        <v>1104</v>
      </c>
      <c r="D1005" s="148" t="s">
        <v>1105</v>
      </c>
      <c r="E1005" s="146" t="s">
        <v>12</v>
      </c>
      <c r="F1005" s="105">
        <v>7944.02</v>
      </c>
      <c r="G1005" s="105">
        <v>7944.02</v>
      </c>
      <c r="H1005" s="105">
        <v>0</v>
      </c>
      <c r="I1005" s="105">
        <v>0</v>
      </c>
      <c r="J1005" s="105">
        <v>0</v>
      </c>
      <c r="K1005" s="148" t="s">
        <v>72</v>
      </c>
    </row>
    <row r="1006" spans="1:11" s="46" customFormat="1" ht="34.200000000000003" customHeight="1" x14ac:dyDescent="0.3">
      <c r="A1006" s="104">
        <f t="shared" si="36"/>
        <v>764</v>
      </c>
      <c r="B1006" s="209"/>
      <c r="C1006" s="148" t="s">
        <v>1106</v>
      </c>
      <c r="D1006" s="148" t="s">
        <v>1107</v>
      </c>
      <c r="E1006" s="146" t="s">
        <v>12</v>
      </c>
      <c r="F1006" s="105">
        <v>10750.56</v>
      </c>
      <c r="G1006" s="105">
        <v>10750.56</v>
      </c>
      <c r="H1006" s="105">
        <v>0</v>
      </c>
      <c r="I1006" s="105">
        <v>0</v>
      </c>
      <c r="J1006" s="105">
        <v>0</v>
      </c>
      <c r="K1006" s="148" t="s">
        <v>72</v>
      </c>
    </row>
    <row r="1007" spans="1:11" s="46" customFormat="1" ht="63" customHeight="1" x14ac:dyDescent="0.3">
      <c r="A1007" s="104">
        <f t="shared" si="36"/>
        <v>765</v>
      </c>
      <c r="B1007" s="209"/>
      <c r="C1007" s="148" t="s">
        <v>1108</v>
      </c>
      <c r="D1007" s="148" t="s">
        <v>93</v>
      </c>
      <c r="E1007" s="146" t="s">
        <v>12</v>
      </c>
      <c r="F1007" s="105">
        <v>1596</v>
      </c>
      <c r="G1007" s="105">
        <v>1596</v>
      </c>
      <c r="H1007" s="105">
        <v>0</v>
      </c>
      <c r="I1007" s="105">
        <v>0</v>
      </c>
      <c r="J1007" s="105">
        <v>0</v>
      </c>
      <c r="K1007" s="148" t="s">
        <v>72</v>
      </c>
    </row>
    <row r="1008" spans="1:11" s="46" customFormat="1" ht="34.799999999999997" customHeight="1" x14ac:dyDescent="0.3">
      <c r="A1008" s="104">
        <f t="shared" si="36"/>
        <v>766</v>
      </c>
      <c r="B1008" s="209"/>
      <c r="C1008" s="148" t="s">
        <v>1109</v>
      </c>
      <c r="D1008" s="148" t="s">
        <v>394</v>
      </c>
      <c r="E1008" s="146" t="s">
        <v>12</v>
      </c>
      <c r="F1008" s="105">
        <v>14146.16</v>
      </c>
      <c r="G1008" s="105">
        <v>0</v>
      </c>
      <c r="H1008" s="105">
        <v>14146.16</v>
      </c>
      <c r="I1008" s="105">
        <v>0</v>
      </c>
      <c r="J1008" s="105">
        <v>0</v>
      </c>
      <c r="K1008" s="148" t="s">
        <v>316</v>
      </c>
    </row>
    <row r="1009" spans="1:11" s="46" customFormat="1" ht="39.6" customHeight="1" x14ac:dyDescent="0.3">
      <c r="A1009" s="104">
        <f t="shared" si="36"/>
        <v>767</v>
      </c>
      <c r="B1009" s="209"/>
      <c r="C1009" s="148" t="s">
        <v>1110</v>
      </c>
      <c r="D1009" s="148" t="s">
        <v>286</v>
      </c>
      <c r="E1009" s="146" t="s">
        <v>12</v>
      </c>
      <c r="F1009" s="105">
        <v>9135.9107399999994</v>
      </c>
      <c r="G1009" s="105">
        <v>0</v>
      </c>
      <c r="H1009" s="105">
        <v>9135.9107399999994</v>
      </c>
      <c r="I1009" s="105">
        <v>0</v>
      </c>
      <c r="J1009" s="105">
        <v>0</v>
      </c>
      <c r="K1009" s="148" t="s">
        <v>282</v>
      </c>
    </row>
    <row r="1010" spans="1:11" s="46" customFormat="1" ht="37.200000000000003" customHeight="1" x14ac:dyDescent="0.3">
      <c r="A1010" s="104">
        <f t="shared" si="36"/>
        <v>768</v>
      </c>
      <c r="B1010" s="209"/>
      <c r="C1010" s="148" t="s">
        <v>1111</v>
      </c>
      <c r="D1010" s="148" t="s">
        <v>394</v>
      </c>
      <c r="E1010" s="146" t="s">
        <v>12</v>
      </c>
      <c r="F1010" s="105">
        <v>14146.16</v>
      </c>
      <c r="G1010" s="105">
        <v>0</v>
      </c>
      <c r="H1010" s="105">
        <v>0</v>
      </c>
      <c r="I1010" s="105">
        <v>14146.16</v>
      </c>
      <c r="J1010" s="105">
        <v>0</v>
      </c>
      <c r="K1010" s="148" t="s">
        <v>318</v>
      </c>
    </row>
    <row r="1011" spans="1:11" s="46" customFormat="1" ht="26.4" x14ac:dyDescent="0.3">
      <c r="A1011" s="104">
        <f t="shared" si="36"/>
        <v>769</v>
      </c>
      <c r="B1011" s="209"/>
      <c r="C1011" s="148" t="s">
        <v>1112</v>
      </c>
      <c r="D1011" s="148" t="s">
        <v>235</v>
      </c>
      <c r="E1011" s="146" t="s">
        <v>12</v>
      </c>
      <c r="F1011" s="105">
        <v>17539.059000000001</v>
      </c>
      <c r="G1011" s="105">
        <v>0</v>
      </c>
      <c r="H1011" s="105">
        <v>0</v>
      </c>
      <c r="I1011" s="105">
        <v>17539.059000000001</v>
      </c>
      <c r="J1011" s="105">
        <v>0</v>
      </c>
      <c r="K1011" s="148" t="s">
        <v>359</v>
      </c>
    </row>
    <row r="1012" spans="1:11" s="47" customFormat="1" ht="17.399999999999999" customHeight="1" x14ac:dyDescent="0.3">
      <c r="A1012" s="213" t="s">
        <v>57</v>
      </c>
      <c r="B1012" s="213"/>
      <c r="C1012" s="213"/>
      <c r="D1012" s="213"/>
      <c r="E1012" s="147"/>
      <c r="F1012" s="106"/>
      <c r="G1012" s="107">
        <f>SUM(G996:G1011)</f>
        <v>61689.769390000001</v>
      </c>
      <c r="H1012" s="107"/>
      <c r="I1012" s="107"/>
      <c r="J1012" s="107"/>
      <c r="K1012" s="147"/>
    </row>
    <row r="1013" spans="1:11" s="49" customFormat="1" ht="13.95" customHeight="1" x14ac:dyDescent="0.3">
      <c r="A1013" s="214" t="s">
        <v>62</v>
      </c>
      <c r="B1013" s="215"/>
      <c r="C1013" s="215"/>
      <c r="D1013" s="215"/>
      <c r="E1013" s="147"/>
      <c r="F1013" s="106"/>
      <c r="G1013" s="106"/>
      <c r="H1013" s="107">
        <f>SUM(H996:H1011)</f>
        <v>23282.070739999999</v>
      </c>
      <c r="I1013" s="107"/>
      <c r="J1013" s="107"/>
      <c r="K1013" s="147"/>
    </row>
    <row r="1014" spans="1:11" s="49" customFormat="1" ht="16.95" customHeight="1" x14ac:dyDescent="0.3">
      <c r="A1014" s="214" t="s">
        <v>19</v>
      </c>
      <c r="B1014" s="215"/>
      <c r="C1014" s="215"/>
      <c r="D1014" s="215"/>
      <c r="E1014" s="147"/>
      <c r="F1014" s="106"/>
      <c r="G1014" s="106"/>
      <c r="H1014" s="107"/>
      <c r="I1014" s="107">
        <f>SUM(I996:I1011)</f>
        <v>31685.219000000001</v>
      </c>
      <c r="J1014" s="107"/>
      <c r="K1014" s="147"/>
    </row>
    <row r="1015" spans="1:11" s="46" customFormat="1" ht="37.200000000000003" customHeight="1" x14ac:dyDescent="0.3">
      <c r="A1015" s="104">
        <v>770</v>
      </c>
      <c r="B1015" s="209" t="s">
        <v>1113</v>
      </c>
      <c r="C1015" s="148" t="s">
        <v>1114</v>
      </c>
      <c r="D1015" s="148" t="s">
        <v>243</v>
      </c>
      <c r="E1015" s="146" t="s">
        <v>12</v>
      </c>
      <c r="F1015" s="105">
        <v>4260.31477</v>
      </c>
      <c r="G1015" s="105">
        <v>4260.31477</v>
      </c>
      <c r="H1015" s="105">
        <v>0</v>
      </c>
      <c r="I1015" s="105">
        <v>0</v>
      </c>
      <c r="J1015" s="105">
        <v>0</v>
      </c>
      <c r="K1015" s="148" t="s">
        <v>72</v>
      </c>
    </row>
    <row r="1016" spans="1:11" s="46" customFormat="1" ht="38.4" customHeight="1" x14ac:dyDescent="0.3">
      <c r="A1016" s="104">
        <f>A1015+1</f>
        <v>771</v>
      </c>
      <c r="B1016" s="209"/>
      <c r="C1016" s="148" t="s">
        <v>1115</v>
      </c>
      <c r="D1016" s="148" t="s">
        <v>229</v>
      </c>
      <c r="E1016" s="146" t="s">
        <v>12</v>
      </c>
      <c r="F1016" s="105">
        <v>2483.4635600000001</v>
      </c>
      <c r="G1016" s="105">
        <v>2483.4635600000001</v>
      </c>
      <c r="H1016" s="105">
        <v>0</v>
      </c>
      <c r="I1016" s="105">
        <v>0</v>
      </c>
      <c r="J1016" s="105">
        <v>0</v>
      </c>
      <c r="K1016" s="148" t="s">
        <v>72</v>
      </c>
    </row>
    <row r="1017" spans="1:11" s="46" customFormat="1" ht="36" customHeight="1" x14ac:dyDescent="0.3">
      <c r="A1017" s="104">
        <f t="shared" ref="A1017:A1034" si="37">A1016+1</f>
        <v>772</v>
      </c>
      <c r="B1017" s="209"/>
      <c r="C1017" s="148" t="s">
        <v>1116</v>
      </c>
      <c r="D1017" s="148" t="s">
        <v>286</v>
      </c>
      <c r="E1017" s="146" t="s">
        <v>12</v>
      </c>
      <c r="F1017" s="105">
        <v>3497.48</v>
      </c>
      <c r="G1017" s="105">
        <v>3497.48</v>
      </c>
      <c r="H1017" s="105">
        <v>0</v>
      </c>
      <c r="I1017" s="105">
        <v>0</v>
      </c>
      <c r="J1017" s="105">
        <v>0</v>
      </c>
      <c r="K1017" s="148" t="s">
        <v>72</v>
      </c>
    </row>
    <row r="1018" spans="1:11" s="46" customFormat="1" ht="62.4" customHeight="1" x14ac:dyDescent="0.3">
      <c r="A1018" s="104">
        <f t="shared" si="37"/>
        <v>773</v>
      </c>
      <c r="B1018" s="209"/>
      <c r="C1018" s="148" t="s">
        <v>1117</v>
      </c>
      <c r="D1018" s="148" t="s">
        <v>1118</v>
      </c>
      <c r="E1018" s="146" t="s">
        <v>12</v>
      </c>
      <c r="F1018" s="105">
        <v>2700</v>
      </c>
      <c r="G1018" s="105">
        <v>2700</v>
      </c>
      <c r="H1018" s="105">
        <v>0</v>
      </c>
      <c r="I1018" s="105">
        <v>0</v>
      </c>
      <c r="J1018" s="105">
        <v>0</v>
      </c>
      <c r="K1018" s="148" t="s">
        <v>76</v>
      </c>
    </row>
    <row r="1019" spans="1:11" s="46" customFormat="1" ht="81.599999999999994" customHeight="1" x14ac:dyDescent="0.3">
      <c r="A1019" s="104">
        <f t="shared" si="37"/>
        <v>774</v>
      </c>
      <c r="B1019" s="209"/>
      <c r="C1019" s="148" t="s">
        <v>1119</v>
      </c>
      <c r="D1019" s="148" t="s">
        <v>833</v>
      </c>
      <c r="E1019" s="146" t="s">
        <v>12</v>
      </c>
      <c r="F1019" s="105">
        <v>1980</v>
      </c>
      <c r="G1019" s="105">
        <v>1980</v>
      </c>
      <c r="H1019" s="105">
        <v>0</v>
      </c>
      <c r="I1019" s="105">
        <v>0</v>
      </c>
      <c r="J1019" s="105">
        <v>0</v>
      </c>
      <c r="K1019" s="148" t="s">
        <v>76</v>
      </c>
    </row>
    <row r="1020" spans="1:11" s="46" customFormat="1" ht="35.4" customHeight="1" x14ac:dyDescent="0.3">
      <c r="A1020" s="104">
        <f t="shared" si="37"/>
        <v>775</v>
      </c>
      <c r="B1020" s="209"/>
      <c r="C1020" s="148" t="s">
        <v>1120</v>
      </c>
      <c r="D1020" s="148" t="s">
        <v>323</v>
      </c>
      <c r="E1020" s="146" t="s">
        <v>12</v>
      </c>
      <c r="F1020" s="105">
        <v>875</v>
      </c>
      <c r="G1020" s="105">
        <v>875</v>
      </c>
      <c r="H1020" s="105">
        <v>0</v>
      </c>
      <c r="I1020" s="105">
        <v>0</v>
      </c>
      <c r="J1020" s="105">
        <v>0</v>
      </c>
      <c r="K1020" s="148" t="s">
        <v>72</v>
      </c>
    </row>
    <row r="1021" spans="1:11" s="46" customFormat="1" ht="36.6" customHeight="1" x14ac:dyDescent="0.3">
      <c r="A1021" s="104">
        <f t="shared" si="37"/>
        <v>776</v>
      </c>
      <c r="B1021" s="209"/>
      <c r="C1021" s="148" t="s">
        <v>1121</v>
      </c>
      <c r="D1021" s="148" t="s">
        <v>323</v>
      </c>
      <c r="E1021" s="146" t="s">
        <v>12</v>
      </c>
      <c r="F1021" s="105">
        <v>3600</v>
      </c>
      <c r="G1021" s="105">
        <v>3600</v>
      </c>
      <c r="H1021" s="105">
        <v>0</v>
      </c>
      <c r="I1021" s="105">
        <v>0</v>
      </c>
      <c r="J1021" s="105">
        <v>0</v>
      </c>
      <c r="K1021" s="148" t="s">
        <v>72</v>
      </c>
    </row>
    <row r="1022" spans="1:11" s="46" customFormat="1" ht="38.4" customHeight="1" x14ac:dyDescent="0.3">
      <c r="A1022" s="104">
        <f t="shared" si="37"/>
        <v>777</v>
      </c>
      <c r="B1022" s="209"/>
      <c r="C1022" s="148" t="s">
        <v>1122</v>
      </c>
      <c r="D1022" s="148" t="s">
        <v>81</v>
      </c>
      <c r="E1022" s="146" t="s">
        <v>12</v>
      </c>
      <c r="F1022" s="105">
        <v>203.01151999999999</v>
      </c>
      <c r="G1022" s="105">
        <v>203.01151999999999</v>
      </c>
      <c r="H1022" s="105">
        <v>0</v>
      </c>
      <c r="I1022" s="105">
        <v>0</v>
      </c>
      <c r="J1022" s="105">
        <v>0</v>
      </c>
      <c r="K1022" s="148" t="s">
        <v>72</v>
      </c>
    </row>
    <row r="1023" spans="1:11" s="46" customFormat="1" ht="38.4" customHeight="1" x14ac:dyDescent="0.3">
      <c r="A1023" s="104">
        <f t="shared" si="37"/>
        <v>778</v>
      </c>
      <c r="B1023" s="209"/>
      <c r="C1023" s="148" t="s">
        <v>1123</v>
      </c>
      <c r="D1023" s="148" t="s">
        <v>349</v>
      </c>
      <c r="E1023" s="146" t="s">
        <v>12</v>
      </c>
      <c r="F1023" s="105">
        <v>2903.6</v>
      </c>
      <c r="G1023" s="105">
        <v>2903.6</v>
      </c>
      <c r="H1023" s="105">
        <v>0</v>
      </c>
      <c r="I1023" s="105">
        <v>0</v>
      </c>
      <c r="J1023" s="105">
        <v>0</v>
      </c>
      <c r="K1023" s="148" t="s">
        <v>72</v>
      </c>
    </row>
    <row r="1024" spans="1:11" s="46" customFormat="1" ht="35.4" customHeight="1" x14ac:dyDescent="0.3">
      <c r="A1024" s="104">
        <f t="shared" si="37"/>
        <v>779</v>
      </c>
      <c r="B1024" s="209"/>
      <c r="C1024" s="148" t="s">
        <v>1124</v>
      </c>
      <c r="D1024" s="148" t="s">
        <v>323</v>
      </c>
      <c r="E1024" s="146" t="s">
        <v>12</v>
      </c>
      <c r="F1024" s="105">
        <v>2913.33</v>
      </c>
      <c r="G1024" s="105">
        <v>2913.33</v>
      </c>
      <c r="H1024" s="105">
        <v>0</v>
      </c>
      <c r="I1024" s="105">
        <v>0</v>
      </c>
      <c r="J1024" s="105">
        <v>0</v>
      </c>
      <c r="K1024" s="148" t="s">
        <v>72</v>
      </c>
    </row>
    <row r="1025" spans="1:11" s="46" customFormat="1" ht="41.4" customHeight="1" x14ac:dyDescent="0.3">
      <c r="A1025" s="104">
        <f t="shared" si="37"/>
        <v>780</v>
      </c>
      <c r="B1025" s="209"/>
      <c r="C1025" s="148" t="s">
        <v>1125</v>
      </c>
      <c r="D1025" s="148" t="s">
        <v>327</v>
      </c>
      <c r="E1025" s="146" t="s">
        <v>12</v>
      </c>
      <c r="F1025" s="105">
        <v>840.09</v>
      </c>
      <c r="G1025" s="105">
        <v>840.09</v>
      </c>
      <c r="H1025" s="105">
        <v>0</v>
      </c>
      <c r="I1025" s="105">
        <v>0</v>
      </c>
      <c r="J1025" s="105">
        <v>0</v>
      </c>
      <c r="K1025" s="148" t="s">
        <v>72</v>
      </c>
    </row>
    <row r="1026" spans="1:11" s="46" customFormat="1" ht="26.4" x14ac:dyDescent="0.3">
      <c r="A1026" s="104">
        <f t="shared" si="37"/>
        <v>781</v>
      </c>
      <c r="B1026" s="209"/>
      <c r="C1026" s="148" t="s">
        <v>1126</v>
      </c>
      <c r="D1026" s="148" t="s">
        <v>1127</v>
      </c>
      <c r="E1026" s="146" t="s">
        <v>12</v>
      </c>
      <c r="F1026" s="105">
        <v>504</v>
      </c>
      <c r="G1026" s="105">
        <v>504</v>
      </c>
      <c r="H1026" s="105">
        <v>0</v>
      </c>
      <c r="I1026" s="105">
        <v>0</v>
      </c>
      <c r="J1026" s="105">
        <v>0</v>
      </c>
      <c r="K1026" s="148" t="s">
        <v>72</v>
      </c>
    </row>
    <row r="1027" spans="1:11" s="46" customFormat="1" ht="71.400000000000006" customHeight="1" x14ac:dyDescent="0.3">
      <c r="A1027" s="104">
        <f t="shared" si="37"/>
        <v>782</v>
      </c>
      <c r="B1027" s="209"/>
      <c r="C1027" s="148" t="s">
        <v>1128</v>
      </c>
      <c r="D1027" s="148" t="s">
        <v>1129</v>
      </c>
      <c r="E1027" s="146" t="s">
        <v>12</v>
      </c>
      <c r="F1027" s="105">
        <v>1000</v>
      </c>
      <c r="G1027" s="105">
        <v>1000</v>
      </c>
      <c r="H1027" s="105">
        <v>0</v>
      </c>
      <c r="I1027" s="105">
        <v>0</v>
      </c>
      <c r="J1027" s="105">
        <v>0</v>
      </c>
      <c r="K1027" s="148" t="s">
        <v>72</v>
      </c>
    </row>
    <row r="1028" spans="1:11" s="46" customFormat="1" ht="40.799999999999997" customHeight="1" x14ac:dyDescent="0.3">
      <c r="A1028" s="104">
        <f t="shared" si="37"/>
        <v>783</v>
      </c>
      <c r="B1028" s="209"/>
      <c r="C1028" s="148" t="s">
        <v>1130</v>
      </c>
      <c r="D1028" s="148" t="s">
        <v>91</v>
      </c>
      <c r="E1028" s="146" t="s">
        <v>12</v>
      </c>
      <c r="F1028" s="105">
        <v>441</v>
      </c>
      <c r="G1028" s="105">
        <v>441</v>
      </c>
      <c r="H1028" s="105">
        <v>0</v>
      </c>
      <c r="I1028" s="105">
        <v>0</v>
      </c>
      <c r="J1028" s="105">
        <v>0</v>
      </c>
      <c r="K1028" s="148" t="s">
        <v>72</v>
      </c>
    </row>
    <row r="1029" spans="1:11" s="46" customFormat="1" ht="26.4" x14ac:dyDescent="0.3">
      <c r="A1029" s="104">
        <f t="shared" si="37"/>
        <v>784</v>
      </c>
      <c r="B1029" s="209"/>
      <c r="C1029" s="148" t="s">
        <v>1131</v>
      </c>
      <c r="D1029" s="148" t="s">
        <v>243</v>
      </c>
      <c r="E1029" s="146" t="s">
        <v>12</v>
      </c>
      <c r="F1029" s="105">
        <v>11975.607</v>
      </c>
      <c r="G1029" s="105">
        <v>0</v>
      </c>
      <c r="H1029" s="105">
        <v>11975.607</v>
      </c>
      <c r="I1029" s="105">
        <v>0</v>
      </c>
      <c r="J1029" s="105">
        <v>0</v>
      </c>
      <c r="K1029" s="148" t="s">
        <v>316</v>
      </c>
    </row>
    <row r="1030" spans="1:11" s="46" customFormat="1" ht="43.2" customHeight="1" x14ac:dyDescent="0.3">
      <c r="A1030" s="104">
        <f t="shared" si="37"/>
        <v>785</v>
      </c>
      <c r="B1030" s="209"/>
      <c r="C1030" s="148" t="s">
        <v>1132</v>
      </c>
      <c r="D1030" s="148" t="s">
        <v>229</v>
      </c>
      <c r="E1030" s="146" t="s">
        <v>12</v>
      </c>
      <c r="F1030" s="105">
        <v>6698.6111000000001</v>
      </c>
      <c r="G1030" s="105">
        <v>0</v>
      </c>
      <c r="H1030" s="105">
        <v>6698.6111000000001</v>
      </c>
      <c r="I1030" s="105">
        <v>0</v>
      </c>
      <c r="J1030" s="105">
        <v>0</v>
      </c>
      <c r="K1030" s="148" t="s">
        <v>282</v>
      </c>
    </row>
    <row r="1031" spans="1:11" s="46" customFormat="1" ht="39.6" customHeight="1" x14ac:dyDescent="0.3">
      <c r="A1031" s="104">
        <f t="shared" si="37"/>
        <v>786</v>
      </c>
      <c r="B1031" s="209"/>
      <c r="C1031" s="148" t="s">
        <v>1133</v>
      </c>
      <c r="D1031" s="148" t="s">
        <v>286</v>
      </c>
      <c r="E1031" s="146" t="s">
        <v>12</v>
      </c>
      <c r="F1031" s="105">
        <v>6471.33</v>
      </c>
      <c r="G1031" s="105">
        <v>0</v>
      </c>
      <c r="H1031" s="105">
        <v>6471.33</v>
      </c>
      <c r="I1031" s="105">
        <v>0</v>
      </c>
      <c r="J1031" s="105">
        <v>0</v>
      </c>
      <c r="K1031" s="148" t="s">
        <v>282</v>
      </c>
    </row>
    <row r="1032" spans="1:11" s="46" customFormat="1" ht="37.799999999999997" customHeight="1" x14ac:dyDescent="0.3">
      <c r="A1032" s="104">
        <f t="shared" si="37"/>
        <v>787</v>
      </c>
      <c r="B1032" s="209"/>
      <c r="C1032" s="148" t="s">
        <v>1134</v>
      </c>
      <c r="D1032" s="148" t="s">
        <v>243</v>
      </c>
      <c r="E1032" s="146" t="s">
        <v>12</v>
      </c>
      <c r="F1032" s="105">
        <v>11975.607</v>
      </c>
      <c r="G1032" s="105">
        <v>0</v>
      </c>
      <c r="H1032" s="105">
        <v>0</v>
      </c>
      <c r="I1032" s="105">
        <v>11975.607</v>
      </c>
      <c r="J1032" s="105">
        <v>0</v>
      </c>
      <c r="K1032" s="148" t="s">
        <v>359</v>
      </c>
    </row>
    <row r="1033" spans="1:11" s="46" customFormat="1" ht="40.200000000000003" customHeight="1" x14ac:dyDescent="0.3">
      <c r="A1033" s="104">
        <f t="shared" si="37"/>
        <v>788</v>
      </c>
      <c r="B1033" s="209"/>
      <c r="C1033" s="148" t="s">
        <v>1135</v>
      </c>
      <c r="D1033" s="148" t="s">
        <v>286</v>
      </c>
      <c r="E1033" s="146" t="s">
        <v>12</v>
      </c>
      <c r="F1033" s="105">
        <v>6471.33</v>
      </c>
      <c r="G1033" s="105">
        <v>0</v>
      </c>
      <c r="H1033" s="105">
        <v>0</v>
      </c>
      <c r="I1033" s="105">
        <v>6471.33</v>
      </c>
      <c r="J1033" s="105">
        <v>0</v>
      </c>
      <c r="K1033" s="148" t="s">
        <v>318</v>
      </c>
    </row>
    <row r="1034" spans="1:11" s="46" customFormat="1" ht="43.2" customHeight="1" x14ac:dyDescent="0.3">
      <c r="A1034" s="104">
        <f t="shared" si="37"/>
        <v>789</v>
      </c>
      <c r="B1034" s="209"/>
      <c r="C1034" s="148" t="s">
        <v>1136</v>
      </c>
      <c r="D1034" s="148" t="s">
        <v>229</v>
      </c>
      <c r="E1034" s="146" t="s">
        <v>12</v>
      </c>
      <c r="F1034" s="105">
        <v>6698.6111000000001</v>
      </c>
      <c r="G1034" s="105">
        <v>0</v>
      </c>
      <c r="H1034" s="105">
        <v>0</v>
      </c>
      <c r="I1034" s="105">
        <v>6698.6111000000001</v>
      </c>
      <c r="J1034" s="105">
        <v>0</v>
      </c>
      <c r="K1034" s="148" t="s">
        <v>318</v>
      </c>
    </row>
    <row r="1035" spans="1:11" s="47" customFormat="1" ht="14.4" customHeight="1" x14ac:dyDescent="0.3">
      <c r="A1035" s="213" t="s">
        <v>57</v>
      </c>
      <c r="B1035" s="213"/>
      <c r="C1035" s="213"/>
      <c r="D1035" s="213"/>
      <c r="E1035" s="147"/>
      <c r="F1035" s="106"/>
      <c r="G1035" s="107">
        <f>SUM(G1015:G1034)</f>
        <v>28201.289849999997</v>
      </c>
      <c r="H1035" s="107"/>
      <c r="I1035" s="107"/>
      <c r="J1035" s="107"/>
      <c r="K1035" s="147"/>
    </row>
    <row r="1036" spans="1:11" s="49" customFormat="1" ht="16.95" customHeight="1" x14ac:dyDescent="0.3">
      <c r="A1036" s="214" t="s">
        <v>62</v>
      </c>
      <c r="B1036" s="215"/>
      <c r="C1036" s="215"/>
      <c r="D1036" s="215"/>
      <c r="E1036" s="147"/>
      <c r="F1036" s="106"/>
      <c r="G1036" s="106"/>
      <c r="H1036" s="107">
        <f>SUM(H1015:H1034)</f>
        <v>25145.5481</v>
      </c>
      <c r="I1036" s="107"/>
      <c r="J1036" s="107"/>
      <c r="K1036" s="147"/>
    </row>
    <row r="1037" spans="1:11" s="49" customFormat="1" ht="15.6" customHeight="1" x14ac:dyDescent="0.3">
      <c r="A1037" s="214" t="s">
        <v>19</v>
      </c>
      <c r="B1037" s="215"/>
      <c r="C1037" s="215"/>
      <c r="D1037" s="215"/>
      <c r="E1037" s="147"/>
      <c r="F1037" s="106"/>
      <c r="G1037" s="106"/>
      <c r="H1037" s="107"/>
      <c r="I1037" s="107">
        <f>SUM(I1015:I1034)</f>
        <v>25145.5481</v>
      </c>
      <c r="J1037" s="107"/>
      <c r="K1037" s="147"/>
    </row>
    <row r="1038" spans="1:11" s="51" customFormat="1" ht="88.8" customHeight="1" x14ac:dyDescent="0.25">
      <c r="A1038" s="110" t="s">
        <v>2550</v>
      </c>
      <c r="B1038" s="243" t="s">
        <v>1146</v>
      </c>
      <c r="C1038" s="138" t="s">
        <v>1147</v>
      </c>
      <c r="D1038" s="138" t="s">
        <v>1148</v>
      </c>
      <c r="E1038" s="74" t="s">
        <v>21</v>
      </c>
      <c r="F1038" s="111">
        <v>32.86656</v>
      </c>
      <c r="G1038" s="111">
        <v>32.86656</v>
      </c>
      <c r="H1038" s="111">
        <v>0</v>
      </c>
      <c r="I1038" s="111">
        <v>0</v>
      </c>
      <c r="J1038" s="111">
        <v>0</v>
      </c>
      <c r="K1038" s="138" t="s">
        <v>69</v>
      </c>
    </row>
    <row r="1039" spans="1:11" s="52" customFormat="1" ht="51" customHeight="1" x14ac:dyDescent="0.25">
      <c r="A1039" s="110" t="s">
        <v>2551</v>
      </c>
      <c r="B1039" s="244"/>
      <c r="C1039" s="138" t="s">
        <v>1149</v>
      </c>
      <c r="D1039" s="138" t="s">
        <v>1150</v>
      </c>
      <c r="E1039" s="74" t="s">
        <v>21</v>
      </c>
      <c r="F1039" s="111">
        <v>80.450500000000005</v>
      </c>
      <c r="G1039" s="111">
        <v>80.450500000000005</v>
      </c>
      <c r="H1039" s="111">
        <v>0</v>
      </c>
      <c r="I1039" s="111">
        <v>0</v>
      </c>
      <c r="J1039" s="111">
        <v>0</v>
      </c>
      <c r="K1039" s="138" t="s">
        <v>125</v>
      </c>
    </row>
    <row r="1040" spans="1:11" s="51" customFormat="1" ht="63" customHeight="1" x14ac:dyDescent="0.25">
      <c r="A1040" s="110" t="s">
        <v>2552</v>
      </c>
      <c r="B1040" s="244"/>
      <c r="C1040" s="138" t="s">
        <v>1151</v>
      </c>
      <c r="D1040" s="138" t="s">
        <v>1152</v>
      </c>
      <c r="E1040" s="74" t="s">
        <v>21</v>
      </c>
      <c r="F1040" s="111">
        <v>152.93667000000002</v>
      </c>
      <c r="G1040" s="111">
        <v>152.93667000000002</v>
      </c>
      <c r="H1040" s="111">
        <v>0</v>
      </c>
      <c r="I1040" s="111">
        <v>0</v>
      </c>
      <c r="J1040" s="111">
        <v>0</v>
      </c>
      <c r="K1040" s="138" t="s">
        <v>114</v>
      </c>
    </row>
    <row r="1041" spans="1:11" s="51" customFormat="1" ht="40.799999999999997" customHeight="1" x14ac:dyDescent="0.25">
      <c r="A1041" s="110" t="s">
        <v>2553</v>
      </c>
      <c r="B1041" s="244"/>
      <c r="C1041" s="138" t="s">
        <v>1153</v>
      </c>
      <c r="D1041" s="138" t="s">
        <v>1154</v>
      </c>
      <c r="E1041" s="74" t="s">
        <v>1155</v>
      </c>
      <c r="F1041" s="111">
        <v>750</v>
      </c>
      <c r="G1041" s="111">
        <v>750</v>
      </c>
      <c r="H1041" s="111">
        <v>0</v>
      </c>
      <c r="I1041" s="111">
        <v>0</v>
      </c>
      <c r="J1041" s="111">
        <v>0</v>
      </c>
      <c r="K1041" s="138" t="s">
        <v>1156</v>
      </c>
    </row>
    <row r="1042" spans="1:11" s="51" customFormat="1" ht="60.6" customHeight="1" x14ac:dyDescent="0.25">
      <c r="A1042" s="110" t="s">
        <v>2554</v>
      </c>
      <c r="B1042" s="244"/>
      <c r="C1042" s="138" t="s">
        <v>1157</v>
      </c>
      <c r="D1042" s="138" t="s">
        <v>1158</v>
      </c>
      <c r="E1042" s="74" t="s">
        <v>21</v>
      </c>
      <c r="F1042" s="111">
        <v>115.73365</v>
      </c>
      <c r="G1042" s="111">
        <v>115.73365</v>
      </c>
      <c r="H1042" s="111">
        <v>0</v>
      </c>
      <c r="I1042" s="111">
        <v>0</v>
      </c>
      <c r="J1042" s="111">
        <v>0</v>
      </c>
      <c r="K1042" s="138" t="s">
        <v>72</v>
      </c>
    </row>
    <row r="1043" spans="1:11" s="51" customFormat="1" ht="56.4" customHeight="1" x14ac:dyDescent="0.25">
      <c r="A1043" s="110" t="s">
        <v>2555</v>
      </c>
      <c r="B1043" s="244"/>
      <c r="C1043" s="138" t="s">
        <v>1159</v>
      </c>
      <c r="D1043" s="138" t="s">
        <v>1160</v>
      </c>
      <c r="E1043" s="74" t="s">
        <v>21</v>
      </c>
      <c r="F1043" s="111">
        <v>126.60402000000001</v>
      </c>
      <c r="G1043" s="111">
        <v>126.60402000000001</v>
      </c>
      <c r="H1043" s="111">
        <v>0</v>
      </c>
      <c r="I1043" s="111">
        <v>0</v>
      </c>
      <c r="J1043" s="111">
        <v>0</v>
      </c>
      <c r="K1043" s="138" t="s">
        <v>72</v>
      </c>
    </row>
    <row r="1044" spans="1:11" s="51" customFormat="1" ht="86.4" customHeight="1" x14ac:dyDescent="0.25">
      <c r="A1044" s="110" t="s">
        <v>2556</v>
      </c>
      <c r="B1044" s="244"/>
      <c r="C1044" s="138" t="s">
        <v>1161</v>
      </c>
      <c r="D1044" s="138" t="s">
        <v>1162</v>
      </c>
      <c r="E1044" s="74" t="s">
        <v>21</v>
      </c>
      <c r="F1044" s="111">
        <v>191.01</v>
      </c>
      <c r="G1044" s="111">
        <v>191.01</v>
      </c>
      <c r="H1044" s="111">
        <v>0</v>
      </c>
      <c r="I1044" s="111">
        <v>0</v>
      </c>
      <c r="J1044" s="111">
        <v>0</v>
      </c>
      <c r="K1044" s="138" t="s">
        <v>72</v>
      </c>
    </row>
    <row r="1045" spans="1:11" s="51" customFormat="1" ht="75.599999999999994" customHeight="1" x14ac:dyDescent="0.25">
      <c r="A1045" s="110" t="s">
        <v>2557</v>
      </c>
      <c r="B1045" s="244"/>
      <c r="C1045" s="138" t="s">
        <v>1163</v>
      </c>
      <c r="D1045" s="138" t="s">
        <v>1164</v>
      </c>
      <c r="E1045" s="74" t="s">
        <v>21</v>
      </c>
      <c r="F1045" s="111">
        <v>800</v>
      </c>
      <c r="G1045" s="111">
        <v>800</v>
      </c>
      <c r="H1045" s="111">
        <v>0</v>
      </c>
      <c r="I1045" s="111">
        <v>0</v>
      </c>
      <c r="J1045" s="111">
        <v>0</v>
      </c>
      <c r="K1045" s="138" t="s">
        <v>114</v>
      </c>
    </row>
    <row r="1046" spans="1:11" s="52" customFormat="1" ht="39" customHeight="1" x14ac:dyDescent="0.25">
      <c r="A1046" s="110" t="s">
        <v>2558</v>
      </c>
      <c r="B1046" s="244"/>
      <c r="C1046" s="138" t="s">
        <v>1165</v>
      </c>
      <c r="D1046" s="138" t="s">
        <v>1166</v>
      </c>
      <c r="E1046" s="74" t="s">
        <v>21</v>
      </c>
      <c r="F1046" s="111">
        <v>300</v>
      </c>
      <c r="G1046" s="111">
        <v>300</v>
      </c>
      <c r="H1046" s="111">
        <v>0</v>
      </c>
      <c r="I1046" s="111">
        <v>0</v>
      </c>
      <c r="J1046" s="111">
        <v>0</v>
      </c>
      <c r="K1046" s="138" t="s">
        <v>114</v>
      </c>
    </row>
    <row r="1047" spans="1:11" s="51" customFormat="1" ht="39" customHeight="1" x14ac:dyDescent="0.25">
      <c r="A1047" s="110" t="s">
        <v>2559</v>
      </c>
      <c r="B1047" s="244"/>
      <c r="C1047" s="138" t="s">
        <v>1167</v>
      </c>
      <c r="D1047" s="138" t="s">
        <v>1168</v>
      </c>
      <c r="E1047" s="74" t="s">
        <v>21</v>
      </c>
      <c r="F1047" s="111">
        <v>166.4</v>
      </c>
      <c r="G1047" s="111">
        <v>166.4</v>
      </c>
      <c r="H1047" s="111">
        <v>0</v>
      </c>
      <c r="I1047" s="111">
        <v>0</v>
      </c>
      <c r="J1047" s="111">
        <v>0</v>
      </c>
      <c r="K1047" s="138" t="s">
        <v>76</v>
      </c>
    </row>
    <row r="1048" spans="1:11" s="51" customFormat="1" ht="73.8" customHeight="1" x14ac:dyDescent="0.25">
      <c r="A1048" s="110" t="s">
        <v>2560</v>
      </c>
      <c r="B1048" s="244"/>
      <c r="C1048" s="138" t="s">
        <v>1169</v>
      </c>
      <c r="D1048" s="138" t="s">
        <v>1170</v>
      </c>
      <c r="E1048" s="74" t="s">
        <v>21</v>
      </c>
      <c r="F1048" s="111">
        <v>2500</v>
      </c>
      <c r="G1048" s="111">
        <v>1250</v>
      </c>
      <c r="H1048" s="111">
        <v>1250</v>
      </c>
      <c r="I1048" s="111">
        <v>0</v>
      </c>
      <c r="J1048" s="111">
        <v>0</v>
      </c>
      <c r="K1048" s="138" t="s">
        <v>1156</v>
      </c>
    </row>
    <row r="1049" spans="1:11" s="51" customFormat="1" ht="73.8" customHeight="1" x14ac:dyDescent="0.25">
      <c r="A1049" s="110" t="s">
        <v>2561</v>
      </c>
      <c r="B1049" s="244"/>
      <c r="C1049" s="138" t="s">
        <v>1171</v>
      </c>
      <c r="D1049" s="138" t="s">
        <v>1172</v>
      </c>
      <c r="E1049" s="74" t="s">
        <v>21</v>
      </c>
      <c r="F1049" s="111">
        <v>955.5</v>
      </c>
      <c r="G1049" s="111">
        <v>879.5</v>
      </c>
      <c r="H1049" s="111">
        <v>76</v>
      </c>
      <c r="I1049" s="111">
        <v>0</v>
      </c>
      <c r="J1049" s="111">
        <v>0</v>
      </c>
      <c r="K1049" s="138" t="s">
        <v>114</v>
      </c>
    </row>
    <row r="1050" spans="1:11" s="51" customFormat="1" ht="73.8" customHeight="1" x14ac:dyDescent="0.25">
      <c r="A1050" s="110" t="s">
        <v>2562</v>
      </c>
      <c r="B1050" s="244"/>
      <c r="C1050" s="138" t="s">
        <v>1173</v>
      </c>
      <c r="D1050" s="138" t="s">
        <v>1174</v>
      </c>
      <c r="E1050" s="74" t="s">
        <v>21</v>
      </c>
      <c r="F1050" s="111">
        <v>560</v>
      </c>
      <c r="G1050" s="111">
        <v>560</v>
      </c>
      <c r="H1050" s="111">
        <v>0</v>
      </c>
      <c r="I1050" s="111">
        <v>0</v>
      </c>
      <c r="J1050" s="111">
        <v>0</v>
      </c>
      <c r="K1050" s="138" t="s">
        <v>72</v>
      </c>
    </row>
    <row r="1051" spans="1:11" s="51" customFormat="1" ht="73.8" customHeight="1" x14ac:dyDescent="0.25">
      <c r="A1051" s="110" t="s">
        <v>2563</v>
      </c>
      <c r="B1051" s="244"/>
      <c r="C1051" s="138" t="s">
        <v>1175</v>
      </c>
      <c r="D1051" s="138" t="s">
        <v>1176</v>
      </c>
      <c r="E1051" s="74" t="s">
        <v>21</v>
      </c>
      <c r="F1051" s="111">
        <v>60</v>
      </c>
      <c r="G1051" s="111">
        <v>60</v>
      </c>
      <c r="H1051" s="111">
        <v>0</v>
      </c>
      <c r="I1051" s="111">
        <v>0</v>
      </c>
      <c r="J1051" s="111">
        <v>0</v>
      </c>
      <c r="K1051" s="138" t="s">
        <v>72</v>
      </c>
    </row>
    <row r="1052" spans="1:11" s="52" customFormat="1" ht="48.6" customHeight="1" x14ac:dyDescent="0.25">
      <c r="A1052" s="110" t="s">
        <v>2564</v>
      </c>
      <c r="B1052" s="244"/>
      <c r="C1052" s="138" t="s">
        <v>1177</v>
      </c>
      <c r="D1052" s="138" t="s">
        <v>1178</v>
      </c>
      <c r="E1052" s="74" t="s">
        <v>21</v>
      </c>
      <c r="F1052" s="111">
        <v>2650</v>
      </c>
      <c r="G1052" s="111">
        <v>2650</v>
      </c>
      <c r="H1052" s="111">
        <v>0</v>
      </c>
      <c r="I1052" s="111">
        <v>0</v>
      </c>
      <c r="J1052" s="111">
        <v>0</v>
      </c>
      <c r="K1052" s="138" t="s">
        <v>1179</v>
      </c>
    </row>
    <row r="1053" spans="1:11" s="51" customFormat="1" ht="66.599999999999994" customHeight="1" x14ac:dyDescent="0.25">
      <c r="A1053" s="110" t="s">
        <v>2565</v>
      </c>
      <c r="B1053" s="244"/>
      <c r="C1053" s="138" t="s">
        <v>1180</v>
      </c>
      <c r="D1053" s="138" t="s">
        <v>1181</v>
      </c>
      <c r="E1053" s="74" t="s">
        <v>21</v>
      </c>
      <c r="F1053" s="111">
        <v>180</v>
      </c>
      <c r="G1053" s="111">
        <v>180</v>
      </c>
      <c r="H1053" s="111">
        <v>0</v>
      </c>
      <c r="I1053" s="111">
        <v>0</v>
      </c>
      <c r="J1053" s="111">
        <v>0</v>
      </c>
      <c r="K1053" s="138" t="s">
        <v>76</v>
      </c>
    </row>
    <row r="1054" spans="1:11" s="51" customFormat="1" ht="49.8" customHeight="1" x14ac:dyDescent="0.25">
      <c r="A1054" s="110" t="s">
        <v>2566</v>
      </c>
      <c r="B1054" s="244"/>
      <c r="C1054" s="138" t="s">
        <v>1182</v>
      </c>
      <c r="D1054" s="138" t="s">
        <v>1183</v>
      </c>
      <c r="E1054" s="74" t="s">
        <v>21</v>
      </c>
      <c r="F1054" s="111">
        <v>400</v>
      </c>
      <c r="G1054" s="111">
        <v>400</v>
      </c>
      <c r="H1054" s="111">
        <v>0</v>
      </c>
      <c r="I1054" s="111">
        <v>0</v>
      </c>
      <c r="J1054" s="111">
        <v>0</v>
      </c>
      <c r="K1054" s="138" t="s">
        <v>76</v>
      </c>
    </row>
    <row r="1055" spans="1:11" s="51" customFormat="1" ht="63" customHeight="1" x14ac:dyDescent="0.25">
      <c r="A1055" s="110" t="s">
        <v>2567</v>
      </c>
      <c r="B1055" s="244"/>
      <c r="C1055" s="138" t="s">
        <v>1184</v>
      </c>
      <c r="D1055" s="138" t="s">
        <v>1185</v>
      </c>
      <c r="E1055" s="74" t="s">
        <v>21</v>
      </c>
      <c r="F1055" s="111">
        <v>303</v>
      </c>
      <c r="G1055" s="111">
        <v>303</v>
      </c>
      <c r="H1055" s="111">
        <v>0</v>
      </c>
      <c r="I1055" s="111">
        <v>0</v>
      </c>
      <c r="J1055" s="111">
        <v>0</v>
      </c>
      <c r="K1055" s="138" t="s">
        <v>76</v>
      </c>
    </row>
    <row r="1056" spans="1:11" s="51" customFormat="1" ht="73.8" customHeight="1" x14ac:dyDescent="0.25">
      <c r="A1056" s="110" t="s">
        <v>2568</v>
      </c>
      <c r="B1056" s="244"/>
      <c r="C1056" s="138" t="s">
        <v>1186</v>
      </c>
      <c r="D1056" s="138" t="s">
        <v>1187</v>
      </c>
      <c r="E1056" s="74" t="s">
        <v>21</v>
      </c>
      <c r="F1056" s="111">
        <v>250</v>
      </c>
      <c r="G1056" s="111">
        <v>250</v>
      </c>
      <c r="H1056" s="111">
        <v>0</v>
      </c>
      <c r="I1056" s="111">
        <v>0</v>
      </c>
      <c r="J1056" s="111">
        <v>0</v>
      </c>
      <c r="K1056" s="138" t="s">
        <v>1179</v>
      </c>
    </row>
    <row r="1057" spans="1:11" s="51" customFormat="1" ht="91.8" customHeight="1" x14ac:dyDescent="0.25">
      <c r="A1057" s="110" t="s">
        <v>2569</v>
      </c>
      <c r="B1057" s="244"/>
      <c r="C1057" s="138" t="s">
        <v>1188</v>
      </c>
      <c r="D1057" s="138" t="s">
        <v>1189</v>
      </c>
      <c r="E1057" s="74" t="s">
        <v>21</v>
      </c>
      <c r="F1057" s="111">
        <v>528.46154000000001</v>
      </c>
      <c r="G1057" s="111">
        <v>528.46154000000001</v>
      </c>
      <c r="H1057" s="111">
        <v>0</v>
      </c>
      <c r="I1057" s="111">
        <v>0</v>
      </c>
      <c r="J1057" s="111">
        <v>0</v>
      </c>
      <c r="K1057" s="138" t="s">
        <v>72</v>
      </c>
    </row>
    <row r="1058" spans="1:11" s="52" customFormat="1" ht="52.8" x14ac:dyDescent="0.25">
      <c r="A1058" s="110" t="s">
        <v>2570</v>
      </c>
      <c r="B1058" s="244"/>
      <c r="C1058" s="138" t="s">
        <v>1190</v>
      </c>
      <c r="D1058" s="138" t="s">
        <v>1191</v>
      </c>
      <c r="E1058" s="74" t="s">
        <v>21</v>
      </c>
      <c r="F1058" s="111">
        <v>1345.6867199999999</v>
      </c>
      <c r="G1058" s="111">
        <v>1345.6867199999999</v>
      </c>
      <c r="H1058" s="111">
        <v>0</v>
      </c>
      <c r="I1058" s="111">
        <v>0</v>
      </c>
      <c r="J1058" s="111">
        <v>0</v>
      </c>
      <c r="K1058" s="138" t="s">
        <v>69</v>
      </c>
    </row>
    <row r="1059" spans="1:11" s="51" customFormat="1" ht="52.8" x14ac:dyDescent="0.25">
      <c r="A1059" s="110" t="s">
        <v>2571</v>
      </c>
      <c r="B1059" s="244"/>
      <c r="C1059" s="138" t="s">
        <v>1192</v>
      </c>
      <c r="D1059" s="138" t="s">
        <v>1193</v>
      </c>
      <c r="E1059" s="74" t="s">
        <v>21</v>
      </c>
      <c r="F1059" s="111">
        <v>794.91680000000008</v>
      </c>
      <c r="G1059" s="111">
        <v>794.91680000000008</v>
      </c>
      <c r="H1059" s="111">
        <v>0</v>
      </c>
      <c r="I1059" s="111">
        <v>0</v>
      </c>
      <c r="J1059" s="111">
        <v>0</v>
      </c>
      <c r="K1059" s="138" t="s">
        <v>125</v>
      </c>
    </row>
    <row r="1060" spans="1:11" s="51" customFormat="1" ht="92.4" x14ac:dyDescent="0.25">
      <c r="A1060" s="110" t="s">
        <v>2572</v>
      </c>
      <c r="B1060" s="244"/>
      <c r="C1060" s="138" t="s">
        <v>1194</v>
      </c>
      <c r="D1060" s="138" t="s">
        <v>1195</v>
      </c>
      <c r="E1060" s="74" t="s">
        <v>21</v>
      </c>
      <c r="F1060" s="111">
        <v>999.6327</v>
      </c>
      <c r="G1060" s="111">
        <v>999.6327</v>
      </c>
      <c r="H1060" s="111">
        <v>0</v>
      </c>
      <c r="I1060" s="111">
        <v>0</v>
      </c>
      <c r="J1060" s="111">
        <v>0</v>
      </c>
      <c r="K1060" s="138" t="s">
        <v>1196</v>
      </c>
    </row>
    <row r="1061" spans="1:11" s="51" customFormat="1" ht="92.4" x14ac:dyDescent="0.25">
      <c r="A1061" s="110" t="s">
        <v>2573</v>
      </c>
      <c r="B1061" s="244"/>
      <c r="C1061" s="138" t="s">
        <v>1197</v>
      </c>
      <c r="D1061" s="138" t="s">
        <v>1198</v>
      </c>
      <c r="E1061" s="74" t="s">
        <v>21</v>
      </c>
      <c r="F1061" s="111">
        <v>3719.1832999999997</v>
      </c>
      <c r="G1061" s="111">
        <v>3719.1832999999997</v>
      </c>
      <c r="H1061" s="111">
        <v>0</v>
      </c>
      <c r="I1061" s="111">
        <v>0</v>
      </c>
      <c r="J1061" s="111">
        <v>0</v>
      </c>
      <c r="K1061" s="138" t="s">
        <v>111</v>
      </c>
    </row>
    <row r="1062" spans="1:11" s="51" customFormat="1" ht="79.2" x14ac:dyDescent="0.25">
      <c r="A1062" s="110" t="s">
        <v>2574</v>
      </c>
      <c r="B1062" s="244"/>
      <c r="C1062" s="138" t="s">
        <v>1199</v>
      </c>
      <c r="D1062" s="138" t="s">
        <v>1200</v>
      </c>
      <c r="E1062" s="74" t="s">
        <v>21</v>
      </c>
      <c r="F1062" s="111">
        <v>882.58822999999995</v>
      </c>
      <c r="G1062" s="111">
        <v>882.58822999999995</v>
      </c>
      <c r="H1062" s="111">
        <v>0</v>
      </c>
      <c r="I1062" s="111">
        <v>0</v>
      </c>
      <c r="J1062" s="111">
        <v>0</v>
      </c>
      <c r="K1062" s="138" t="s">
        <v>69</v>
      </c>
    </row>
    <row r="1063" spans="1:11" s="52" customFormat="1" ht="99" customHeight="1" x14ac:dyDescent="0.25">
      <c r="A1063" s="110" t="s">
        <v>2575</v>
      </c>
      <c r="B1063" s="244"/>
      <c r="C1063" s="138" t="s">
        <v>1201</v>
      </c>
      <c r="D1063" s="138" t="s">
        <v>1202</v>
      </c>
      <c r="E1063" s="74" t="s">
        <v>1203</v>
      </c>
      <c r="F1063" s="111">
        <v>4998.6313700000001</v>
      </c>
      <c r="G1063" s="111">
        <v>4998.6313700000001</v>
      </c>
      <c r="H1063" s="111">
        <v>0</v>
      </c>
      <c r="I1063" s="111">
        <v>0</v>
      </c>
      <c r="J1063" s="111">
        <v>0</v>
      </c>
      <c r="K1063" s="138" t="s">
        <v>1156</v>
      </c>
    </row>
    <row r="1064" spans="1:11" s="51" customFormat="1" ht="92.4" x14ac:dyDescent="0.25">
      <c r="A1064" s="110" t="s">
        <v>2576</v>
      </c>
      <c r="B1064" s="244"/>
      <c r="C1064" s="138" t="s">
        <v>1204</v>
      </c>
      <c r="D1064" s="138" t="s">
        <v>1205</v>
      </c>
      <c r="E1064" s="74" t="s">
        <v>21</v>
      </c>
      <c r="F1064" s="111">
        <v>540</v>
      </c>
      <c r="G1064" s="111">
        <v>540</v>
      </c>
      <c r="H1064" s="111">
        <v>0</v>
      </c>
      <c r="I1064" s="111">
        <v>0</v>
      </c>
      <c r="J1064" s="111">
        <v>0</v>
      </c>
      <c r="K1064" s="138" t="s">
        <v>69</v>
      </c>
    </row>
    <row r="1065" spans="1:11" s="51" customFormat="1" ht="92.4" x14ac:dyDescent="0.25">
      <c r="A1065" s="110" t="s">
        <v>2577</v>
      </c>
      <c r="B1065" s="244"/>
      <c r="C1065" s="138" t="s">
        <v>1206</v>
      </c>
      <c r="D1065" s="138" t="s">
        <v>1202</v>
      </c>
      <c r="E1065" s="74" t="s">
        <v>21</v>
      </c>
      <c r="F1065" s="111">
        <v>20431.008129999998</v>
      </c>
      <c r="G1065" s="111">
        <v>20431.008129999998</v>
      </c>
      <c r="H1065" s="111">
        <v>0</v>
      </c>
      <c r="I1065" s="111">
        <v>0</v>
      </c>
      <c r="J1065" s="111">
        <v>0</v>
      </c>
      <c r="K1065" s="138" t="s">
        <v>69</v>
      </c>
    </row>
    <row r="1066" spans="1:11" s="51" customFormat="1" ht="116.4" customHeight="1" x14ac:dyDescent="0.25">
      <c r="A1066" s="110" t="s">
        <v>2578</v>
      </c>
      <c r="B1066" s="244"/>
      <c r="C1066" s="138" t="s">
        <v>1207</v>
      </c>
      <c r="D1066" s="138" t="s">
        <v>1202</v>
      </c>
      <c r="E1066" s="74" t="s">
        <v>1203</v>
      </c>
      <c r="F1066" s="111">
        <v>1454</v>
      </c>
      <c r="G1066" s="111">
        <v>0</v>
      </c>
      <c r="H1066" s="111">
        <v>1454</v>
      </c>
      <c r="I1066" s="111">
        <v>0</v>
      </c>
      <c r="J1066" s="111">
        <v>0</v>
      </c>
      <c r="K1066" s="138" t="s">
        <v>1156</v>
      </c>
    </row>
    <row r="1067" spans="1:11" s="51" customFormat="1" ht="93.6" customHeight="1" x14ac:dyDescent="0.25">
      <c r="A1067" s="110" t="s">
        <v>2579</v>
      </c>
      <c r="B1067" s="244"/>
      <c r="C1067" s="138" t="s">
        <v>1208</v>
      </c>
      <c r="D1067" s="138" t="s">
        <v>1209</v>
      </c>
      <c r="E1067" s="74" t="s">
        <v>1203</v>
      </c>
      <c r="F1067" s="111">
        <v>2097.4584</v>
      </c>
      <c r="G1067" s="111">
        <v>2097.4584</v>
      </c>
      <c r="H1067" s="111">
        <v>0</v>
      </c>
      <c r="I1067" s="111">
        <v>0</v>
      </c>
      <c r="J1067" s="111">
        <v>0</v>
      </c>
      <c r="K1067" s="138" t="s">
        <v>1156</v>
      </c>
    </row>
    <row r="1068" spans="1:11" s="52" customFormat="1" ht="87.6" customHeight="1" x14ac:dyDescent="0.25">
      <c r="A1068" s="110" t="s">
        <v>2580</v>
      </c>
      <c r="B1068" s="244"/>
      <c r="C1068" s="138" t="s">
        <v>1210</v>
      </c>
      <c r="D1068" s="138" t="s">
        <v>1211</v>
      </c>
      <c r="E1068" s="74" t="s">
        <v>21</v>
      </c>
      <c r="F1068" s="111">
        <v>2364.5430899999997</v>
      </c>
      <c r="G1068" s="111">
        <v>2364.5430899999997</v>
      </c>
      <c r="H1068" s="111">
        <v>0</v>
      </c>
      <c r="I1068" s="111">
        <v>0</v>
      </c>
      <c r="J1068" s="111">
        <v>0</v>
      </c>
      <c r="K1068" s="138" t="s">
        <v>1179</v>
      </c>
    </row>
    <row r="1069" spans="1:11" s="51" customFormat="1" ht="31.95" customHeight="1" x14ac:dyDescent="0.25">
      <c r="A1069" s="110" t="s">
        <v>2581</v>
      </c>
      <c r="B1069" s="244"/>
      <c r="C1069" s="138" t="s">
        <v>1212</v>
      </c>
      <c r="D1069" s="138" t="s">
        <v>1213</v>
      </c>
      <c r="E1069" s="74" t="s">
        <v>21</v>
      </c>
      <c r="F1069" s="111">
        <v>1604.9575199999999</v>
      </c>
      <c r="G1069" s="111">
        <v>1604.9575199999999</v>
      </c>
      <c r="H1069" s="111">
        <v>0</v>
      </c>
      <c r="I1069" s="111">
        <v>0</v>
      </c>
      <c r="J1069" s="111">
        <v>0</v>
      </c>
      <c r="K1069" s="138" t="s">
        <v>1214</v>
      </c>
    </row>
    <row r="1070" spans="1:11" s="51" customFormat="1" ht="97.8" customHeight="1" x14ac:dyDescent="0.25">
      <c r="A1070" s="110" t="s">
        <v>2582</v>
      </c>
      <c r="B1070" s="244"/>
      <c r="C1070" s="138" t="s">
        <v>1147</v>
      </c>
      <c r="D1070" s="112" t="s">
        <v>1148</v>
      </c>
      <c r="E1070" s="74" t="s">
        <v>21</v>
      </c>
      <c r="F1070" s="111">
        <v>32.86656</v>
      </c>
      <c r="G1070" s="111">
        <v>32.86656</v>
      </c>
      <c r="H1070" s="111">
        <v>0</v>
      </c>
      <c r="I1070" s="111">
        <v>0</v>
      </c>
      <c r="J1070" s="111">
        <v>0</v>
      </c>
      <c r="K1070" s="138" t="s">
        <v>1215</v>
      </c>
    </row>
    <row r="1071" spans="1:11" s="51" customFormat="1" ht="17.399999999999999" customHeight="1" x14ac:dyDescent="0.3">
      <c r="A1071" s="217" t="s">
        <v>1216</v>
      </c>
      <c r="B1071" s="218"/>
      <c r="C1071" s="218"/>
      <c r="D1071" s="218"/>
      <c r="E1071" s="218"/>
      <c r="F1071" s="113">
        <f>SUM(F1038:F1070)</f>
        <v>52368.43576</v>
      </c>
      <c r="G1071" s="113">
        <f t="shared" ref="G1071:J1071" si="38">SUM(G1038:G1070)</f>
        <v>49588.43576</v>
      </c>
      <c r="H1071" s="113">
        <f t="shared" si="38"/>
        <v>2780</v>
      </c>
      <c r="I1071" s="113">
        <f t="shared" si="38"/>
        <v>0</v>
      </c>
      <c r="J1071" s="113">
        <f t="shared" si="38"/>
        <v>0</v>
      </c>
      <c r="K1071" s="138"/>
    </row>
    <row r="1072" spans="1:11" s="51" customFormat="1" ht="87.6" customHeight="1" x14ac:dyDescent="0.25">
      <c r="A1072" s="110" t="s">
        <v>2583</v>
      </c>
      <c r="B1072" s="243" t="s">
        <v>1146</v>
      </c>
      <c r="C1072" s="138" t="s">
        <v>1217</v>
      </c>
      <c r="D1072" s="138" t="s">
        <v>1148</v>
      </c>
      <c r="E1072" s="74" t="s">
        <v>21</v>
      </c>
      <c r="F1072" s="111">
        <v>19.333400000000001</v>
      </c>
      <c r="G1072" s="111">
        <v>0</v>
      </c>
      <c r="H1072" s="111">
        <v>19.333400000000001</v>
      </c>
      <c r="I1072" s="111">
        <v>0</v>
      </c>
      <c r="J1072" s="111">
        <v>0</v>
      </c>
      <c r="K1072" s="138" t="s">
        <v>316</v>
      </c>
    </row>
    <row r="1073" spans="1:11" s="51" customFormat="1" ht="87.6" customHeight="1" x14ac:dyDescent="0.25">
      <c r="A1073" s="110" t="s">
        <v>2584</v>
      </c>
      <c r="B1073" s="244"/>
      <c r="C1073" s="138" t="s">
        <v>1218</v>
      </c>
      <c r="D1073" s="138" t="s">
        <v>1150</v>
      </c>
      <c r="E1073" s="74" t="s">
        <v>21</v>
      </c>
      <c r="F1073" s="111">
        <v>168</v>
      </c>
      <c r="G1073" s="111">
        <v>0</v>
      </c>
      <c r="H1073" s="111">
        <v>168</v>
      </c>
      <c r="I1073" s="111">
        <v>0</v>
      </c>
      <c r="J1073" s="111">
        <v>0</v>
      </c>
      <c r="K1073" s="138" t="s">
        <v>1219</v>
      </c>
    </row>
    <row r="1074" spans="1:11" s="51" customFormat="1" ht="87.6" customHeight="1" x14ac:dyDescent="0.25">
      <c r="A1074" s="110" t="s">
        <v>2585</v>
      </c>
      <c r="B1074" s="244"/>
      <c r="C1074" s="138" t="s">
        <v>1220</v>
      </c>
      <c r="D1074" s="138" t="s">
        <v>1162</v>
      </c>
      <c r="E1074" s="74" t="s">
        <v>21</v>
      </c>
      <c r="F1074" s="111">
        <v>191.01</v>
      </c>
      <c r="G1074" s="111">
        <v>0</v>
      </c>
      <c r="H1074" s="111">
        <v>191.01</v>
      </c>
      <c r="I1074" s="111">
        <v>0</v>
      </c>
      <c r="J1074" s="111">
        <v>0</v>
      </c>
      <c r="K1074" s="138" t="s">
        <v>282</v>
      </c>
    </row>
    <row r="1075" spans="1:11" s="51" customFormat="1" ht="87.6" customHeight="1" x14ac:dyDescent="0.25">
      <c r="A1075" s="110" t="s">
        <v>2586</v>
      </c>
      <c r="B1075" s="244"/>
      <c r="C1075" s="138" t="s">
        <v>1221</v>
      </c>
      <c r="D1075" s="138" t="s">
        <v>1152</v>
      </c>
      <c r="E1075" s="74" t="s">
        <v>21</v>
      </c>
      <c r="F1075" s="111">
        <v>152.93667000000002</v>
      </c>
      <c r="G1075" s="111">
        <v>0</v>
      </c>
      <c r="H1075" s="111">
        <v>152.93667000000002</v>
      </c>
      <c r="I1075" s="111">
        <v>0</v>
      </c>
      <c r="J1075" s="111">
        <v>0</v>
      </c>
      <c r="K1075" s="138" t="s">
        <v>1222</v>
      </c>
    </row>
    <row r="1076" spans="1:11" s="51" customFormat="1" ht="87.6" customHeight="1" x14ac:dyDescent="0.25">
      <c r="A1076" s="110" t="s">
        <v>2587</v>
      </c>
      <c r="B1076" s="244"/>
      <c r="C1076" s="138" t="s">
        <v>1223</v>
      </c>
      <c r="D1076" s="138" t="s">
        <v>1168</v>
      </c>
      <c r="E1076" s="74" t="s">
        <v>21</v>
      </c>
      <c r="F1076" s="111">
        <v>166.4</v>
      </c>
      <c r="G1076" s="111">
        <v>0</v>
      </c>
      <c r="H1076" s="111">
        <v>166.4</v>
      </c>
      <c r="I1076" s="111">
        <v>0</v>
      </c>
      <c r="J1076" s="111">
        <v>0</v>
      </c>
      <c r="K1076" s="138" t="s">
        <v>529</v>
      </c>
    </row>
    <row r="1077" spans="1:11" s="51" customFormat="1" ht="76.2" customHeight="1" x14ac:dyDescent="0.25">
      <c r="A1077" s="110" t="s">
        <v>2588</v>
      </c>
      <c r="B1077" s="244"/>
      <c r="C1077" s="138" t="s">
        <v>1224</v>
      </c>
      <c r="D1077" s="138" t="s">
        <v>1225</v>
      </c>
      <c r="E1077" s="74" t="s">
        <v>21</v>
      </c>
      <c r="F1077" s="111">
        <v>213.26667</v>
      </c>
      <c r="G1077" s="111">
        <v>0</v>
      </c>
      <c r="H1077" s="111">
        <v>213.26667</v>
      </c>
      <c r="I1077" s="111">
        <v>0</v>
      </c>
      <c r="J1077" s="111">
        <v>0</v>
      </c>
      <c r="K1077" s="138" t="s">
        <v>282</v>
      </c>
    </row>
    <row r="1078" spans="1:11" s="51" customFormat="1" ht="76.2" customHeight="1" x14ac:dyDescent="0.25">
      <c r="A1078" s="110" t="s">
        <v>2589</v>
      </c>
      <c r="B1078" s="244"/>
      <c r="C1078" s="138" t="s">
        <v>1226</v>
      </c>
      <c r="D1078" s="138" t="s">
        <v>1158</v>
      </c>
      <c r="E1078" s="74" t="s">
        <v>21</v>
      </c>
      <c r="F1078" s="111">
        <v>115.73365</v>
      </c>
      <c r="G1078" s="111">
        <v>0</v>
      </c>
      <c r="H1078" s="111">
        <v>115.73365</v>
      </c>
      <c r="I1078" s="111">
        <v>0</v>
      </c>
      <c r="J1078" s="111">
        <v>0</v>
      </c>
      <c r="K1078" s="138" t="s">
        <v>282</v>
      </c>
    </row>
    <row r="1079" spans="1:11" s="51" customFormat="1" ht="76.2" customHeight="1" x14ac:dyDescent="0.25">
      <c r="A1079" s="110" t="s">
        <v>2590</v>
      </c>
      <c r="B1079" s="244"/>
      <c r="C1079" s="138" t="s">
        <v>1227</v>
      </c>
      <c r="D1079" s="138" t="s">
        <v>1228</v>
      </c>
      <c r="E1079" s="74" t="s">
        <v>21</v>
      </c>
      <c r="F1079" s="111">
        <v>68.480829999999997</v>
      </c>
      <c r="G1079" s="111">
        <v>0</v>
      </c>
      <c r="H1079" s="111">
        <v>68.480829999999997</v>
      </c>
      <c r="I1079" s="111">
        <v>0</v>
      </c>
      <c r="J1079" s="111">
        <v>0</v>
      </c>
      <c r="K1079" s="138" t="s">
        <v>1229</v>
      </c>
    </row>
    <row r="1080" spans="1:11" s="51" customFormat="1" ht="76.2" customHeight="1" x14ac:dyDescent="0.25">
      <c r="A1080" s="110" t="s">
        <v>2591</v>
      </c>
      <c r="B1080" s="244"/>
      <c r="C1080" s="138" t="s">
        <v>1230</v>
      </c>
      <c r="D1080" s="138" t="s">
        <v>1170</v>
      </c>
      <c r="E1080" s="74" t="s">
        <v>1203</v>
      </c>
      <c r="F1080" s="111">
        <v>2500</v>
      </c>
      <c r="G1080" s="111">
        <v>0</v>
      </c>
      <c r="H1080" s="111">
        <v>1250</v>
      </c>
      <c r="I1080" s="111">
        <v>1250</v>
      </c>
      <c r="J1080" s="111">
        <v>0</v>
      </c>
      <c r="K1080" s="138" t="s">
        <v>1229</v>
      </c>
    </row>
    <row r="1081" spans="1:11" s="51" customFormat="1" ht="76.2" customHeight="1" x14ac:dyDescent="0.25">
      <c r="A1081" s="110" t="s">
        <v>2592</v>
      </c>
      <c r="B1081" s="244"/>
      <c r="C1081" s="138" t="s">
        <v>1231</v>
      </c>
      <c r="D1081" s="138" t="s">
        <v>1172</v>
      </c>
      <c r="E1081" s="74" t="s">
        <v>21</v>
      </c>
      <c r="F1081" s="111">
        <v>955.5</v>
      </c>
      <c r="G1081" s="111">
        <v>0</v>
      </c>
      <c r="H1081" s="111">
        <v>879.5</v>
      </c>
      <c r="I1081" s="111">
        <v>76</v>
      </c>
      <c r="J1081" s="111">
        <v>0</v>
      </c>
      <c r="K1081" s="138" t="s">
        <v>1232</v>
      </c>
    </row>
    <row r="1082" spans="1:11" s="51" customFormat="1" ht="76.2" customHeight="1" x14ac:dyDescent="0.25">
      <c r="A1082" s="110" t="s">
        <v>2593</v>
      </c>
      <c r="B1082" s="244"/>
      <c r="C1082" s="138" t="s">
        <v>1233</v>
      </c>
      <c r="D1082" s="138" t="s">
        <v>1174</v>
      </c>
      <c r="E1082" s="74" t="s">
        <v>21</v>
      </c>
      <c r="F1082" s="111">
        <v>560</v>
      </c>
      <c r="G1082" s="111">
        <v>0</v>
      </c>
      <c r="H1082" s="111">
        <v>560</v>
      </c>
      <c r="I1082" s="111">
        <v>0</v>
      </c>
      <c r="J1082" s="111">
        <v>0</v>
      </c>
      <c r="K1082" s="138" t="s">
        <v>282</v>
      </c>
    </row>
    <row r="1083" spans="1:11" s="51" customFormat="1" ht="65.400000000000006" customHeight="1" x14ac:dyDescent="0.25">
      <c r="A1083" s="110" t="s">
        <v>2594</v>
      </c>
      <c r="B1083" s="244"/>
      <c r="C1083" s="138" t="s">
        <v>1234</v>
      </c>
      <c r="D1083" s="138" t="s">
        <v>1176</v>
      </c>
      <c r="E1083" s="74" t="s">
        <v>21</v>
      </c>
      <c r="F1083" s="111">
        <v>60</v>
      </c>
      <c r="G1083" s="111">
        <v>0</v>
      </c>
      <c r="H1083" s="111">
        <v>60</v>
      </c>
      <c r="I1083" s="111">
        <v>0</v>
      </c>
      <c r="J1083" s="111">
        <v>0</v>
      </c>
      <c r="K1083" s="138" t="s">
        <v>282</v>
      </c>
    </row>
    <row r="1084" spans="1:11" s="51" customFormat="1" ht="65.400000000000006" customHeight="1" x14ac:dyDescent="0.25">
      <c r="A1084" s="110" t="s">
        <v>2595</v>
      </c>
      <c r="B1084" s="244"/>
      <c r="C1084" s="138" t="s">
        <v>1235</v>
      </c>
      <c r="D1084" s="138" t="s">
        <v>1178</v>
      </c>
      <c r="E1084" s="74" t="s">
        <v>21</v>
      </c>
      <c r="F1084" s="111">
        <v>2650</v>
      </c>
      <c r="G1084" s="111">
        <v>0</v>
      </c>
      <c r="H1084" s="111">
        <v>2650</v>
      </c>
      <c r="I1084" s="111">
        <v>0</v>
      </c>
      <c r="J1084" s="111">
        <v>0</v>
      </c>
      <c r="K1084" s="138" t="s">
        <v>1236</v>
      </c>
    </row>
    <row r="1085" spans="1:11" s="51" customFormat="1" ht="65.400000000000006" customHeight="1" x14ac:dyDescent="0.25">
      <c r="A1085" s="110" t="s">
        <v>2596</v>
      </c>
      <c r="B1085" s="244"/>
      <c r="C1085" s="138" t="s">
        <v>1237</v>
      </c>
      <c r="D1085" s="138" t="s">
        <v>1181</v>
      </c>
      <c r="E1085" s="74" t="s">
        <v>21</v>
      </c>
      <c r="F1085" s="111">
        <v>180</v>
      </c>
      <c r="G1085" s="111">
        <v>0</v>
      </c>
      <c r="H1085" s="111">
        <v>180</v>
      </c>
      <c r="I1085" s="111">
        <v>0</v>
      </c>
      <c r="J1085" s="111">
        <v>0</v>
      </c>
      <c r="K1085" s="138" t="s">
        <v>529</v>
      </c>
    </row>
    <row r="1086" spans="1:11" s="51" customFormat="1" ht="65.400000000000006" customHeight="1" x14ac:dyDescent="0.25">
      <c r="A1086" s="110" t="s">
        <v>2597</v>
      </c>
      <c r="B1086" s="244"/>
      <c r="C1086" s="138" t="s">
        <v>1238</v>
      </c>
      <c r="D1086" s="138" t="s">
        <v>1183</v>
      </c>
      <c r="E1086" s="74" t="s">
        <v>21</v>
      </c>
      <c r="F1086" s="111">
        <v>400</v>
      </c>
      <c r="G1086" s="111">
        <v>0</v>
      </c>
      <c r="H1086" s="111">
        <v>400</v>
      </c>
      <c r="I1086" s="111">
        <v>0</v>
      </c>
      <c r="J1086" s="111">
        <v>0</v>
      </c>
      <c r="K1086" s="138" t="s">
        <v>529</v>
      </c>
    </row>
    <row r="1087" spans="1:11" s="51" customFormat="1" ht="65.400000000000006" customHeight="1" x14ac:dyDescent="0.25">
      <c r="A1087" s="110" t="s">
        <v>2598</v>
      </c>
      <c r="B1087" s="244"/>
      <c r="C1087" s="138" t="s">
        <v>1239</v>
      </c>
      <c r="D1087" s="138" t="s">
        <v>1185</v>
      </c>
      <c r="E1087" s="74" t="s">
        <v>21</v>
      </c>
      <c r="F1087" s="111">
        <v>303</v>
      </c>
      <c r="G1087" s="111">
        <v>0</v>
      </c>
      <c r="H1087" s="111">
        <v>303</v>
      </c>
      <c r="I1087" s="111">
        <v>0</v>
      </c>
      <c r="J1087" s="111">
        <v>0</v>
      </c>
      <c r="K1087" s="138" t="s">
        <v>529</v>
      </c>
    </row>
    <row r="1088" spans="1:11" s="51" customFormat="1" ht="65.400000000000006" customHeight="1" x14ac:dyDescent="0.25">
      <c r="A1088" s="110" t="s">
        <v>2599</v>
      </c>
      <c r="B1088" s="244"/>
      <c r="C1088" s="138" t="s">
        <v>1240</v>
      </c>
      <c r="D1088" s="138" t="s">
        <v>1187</v>
      </c>
      <c r="E1088" s="74" t="s">
        <v>21</v>
      </c>
      <c r="F1088" s="111">
        <v>250</v>
      </c>
      <c r="G1088" s="111">
        <v>0</v>
      </c>
      <c r="H1088" s="111">
        <v>250</v>
      </c>
      <c r="I1088" s="111">
        <v>0</v>
      </c>
      <c r="J1088" s="111">
        <v>0</v>
      </c>
      <c r="K1088" s="138" t="s">
        <v>1236</v>
      </c>
    </row>
    <row r="1089" spans="1:11" s="51" customFormat="1" ht="112.2" customHeight="1" x14ac:dyDescent="0.25">
      <c r="A1089" s="110" t="s">
        <v>2600</v>
      </c>
      <c r="B1089" s="244"/>
      <c r="C1089" s="138" t="s">
        <v>1241</v>
      </c>
      <c r="D1089" s="138" t="s">
        <v>1191</v>
      </c>
      <c r="E1089" s="74" t="s">
        <v>21</v>
      </c>
      <c r="F1089" s="111">
        <v>1345.6867199999999</v>
      </c>
      <c r="G1089" s="111">
        <v>0</v>
      </c>
      <c r="H1089" s="111">
        <v>1345.6867199999999</v>
      </c>
      <c r="I1089" s="111">
        <v>0</v>
      </c>
      <c r="J1089" s="111">
        <v>0</v>
      </c>
      <c r="K1089" s="138" t="s">
        <v>1219</v>
      </c>
    </row>
    <row r="1090" spans="1:11" s="51" customFormat="1" ht="112.2" customHeight="1" x14ac:dyDescent="0.25">
      <c r="A1090" s="110" t="s">
        <v>2601</v>
      </c>
      <c r="B1090" s="244"/>
      <c r="C1090" s="138" t="s">
        <v>1242</v>
      </c>
      <c r="D1090" s="138" t="s">
        <v>1189</v>
      </c>
      <c r="E1090" s="74" t="s">
        <v>21</v>
      </c>
      <c r="F1090" s="111">
        <v>528.46154000000001</v>
      </c>
      <c r="G1090" s="111">
        <v>0</v>
      </c>
      <c r="H1090" s="111">
        <v>528.46154000000001</v>
      </c>
      <c r="I1090" s="111">
        <v>0</v>
      </c>
      <c r="J1090" s="111">
        <v>0</v>
      </c>
      <c r="K1090" s="138" t="s">
        <v>282</v>
      </c>
    </row>
    <row r="1091" spans="1:11" s="51" customFormat="1" ht="112.2" customHeight="1" x14ac:dyDescent="0.25">
      <c r="A1091" s="110" t="s">
        <v>2602</v>
      </c>
      <c r="B1091" s="244"/>
      <c r="C1091" s="138" t="s">
        <v>1243</v>
      </c>
      <c r="D1091" s="138" t="s">
        <v>1193</v>
      </c>
      <c r="E1091" s="74" t="s">
        <v>21</v>
      </c>
      <c r="F1091" s="111">
        <v>794.91680000000008</v>
      </c>
      <c r="G1091" s="111">
        <v>0</v>
      </c>
      <c r="H1091" s="111">
        <v>794.91680000000008</v>
      </c>
      <c r="I1091" s="111">
        <v>0</v>
      </c>
      <c r="J1091" s="111">
        <v>0</v>
      </c>
      <c r="K1091" s="138" t="s">
        <v>1219</v>
      </c>
    </row>
    <row r="1092" spans="1:11" s="51" customFormat="1" ht="112.2" customHeight="1" x14ac:dyDescent="0.25">
      <c r="A1092" s="110" t="s">
        <v>2603</v>
      </c>
      <c r="B1092" s="244"/>
      <c r="C1092" s="138" t="s">
        <v>1244</v>
      </c>
      <c r="D1092" s="138" t="s">
        <v>1195</v>
      </c>
      <c r="E1092" s="74" t="s">
        <v>21</v>
      </c>
      <c r="F1092" s="111">
        <v>999.6327</v>
      </c>
      <c r="G1092" s="111">
        <v>0</v>
      </c>
      <c r="H1092" s="111">
        <v>999.6327</v>
      </c>
      <c r="I1092" s="111">
        <v>0</v>
      </c>
      <c r="J1092" s="111">
        <v>0</v>
      </c>
      <c r="K1092" s="138" t="s">
        <v>1245</v>
      </c>
    </row>
    <row r="1093" spans="1:11" s="51" customFormat="1" ht="92.4" x14ac:dyDescent="0.25">
      <c r="A1093" s="110" t="s">
        <v>2604</v>
      </c>
      <c r="B1093" s="244"/>
      <c r="C1093" s="138" t="s">
        <v>1246</v>
      </c>
      <c r="D1093" s="138" t="s">
        <v>1198</v>
      </c>
      <c r="E1093" s="74" t="s">
        <v>21</v>
      </c>
      <c r="F1093" s="111">
        <v>4566.6499999999996</v>
      </c>
      <c r="G1093" s="111">
        <v>0</v>
      </c>
      <c r="H1093" s="111">
        <v>4566.6499999999996</v>
      </c>
      <c r="I1093" s="111">
        <v>0</v>
      </c>
      <c r="J1093" s="111">
        <v>0</v>
      </c>
      <c r="K1093" s="138" t="s">
        <v>13</v>
      </c>
    </row>
    <row r="1094" spans="1:11" s="51" customFormat="1" ht="79.2" x14ac:dyDescent="0.25">
      <c r="A1094" s="110" t="s">
        <v>2605</v>
      </c>
      <c r="B1094" s="244"/>
      <c r="C1094" s="138" t="s">
        <v>1247</v>
      </c>
      <c r="D1094" s="138" t="s">
        <v>1248</v>
      </c>
      <c r="E1094" s="74" t="s">
        <v>21</v>
      </c>
      <c r="F1094" s="111">
        <v>882.58822999999995</v>
      </c>
      <c r="G1094" s="111">
        <v>0</v>
      </c>
      <c r="H1094" s="111">
        <v>882.58822999999995</v>
      </c>
      <c r="I1094" s="111">
        <v>0</v>
      </c>
      <c r="J1094" s="111">
        <v>0</v>
      </c>
      <c r="K1094" s="138" t="s">
        <v>1249</v>
      </c>
    </row>
    <row r="1095" spans="1:11" s="51" customFormat="1" ht="115.2" customHeight="1" x14ac:dyDescent="0.25">
      <c r="A1095" s="110" t="s">
        <v>2606</v>
      </c>
      <c r="B1095" s="244"/>
      <c r="C1095" s="138" t="s">
        <v>1250</v>
      </c>
      <c r="D1095" s="138" t="s">
        <v>1202</v>
      </c>
      <c r="E1095" s="74" t="s">
        <v>1203</v>
      </c>
      <c r="F1095" s="111">
        <v>4998.6313700000001</v>
      </c>
      <c r="G1095" s="111">
        <v>0</v>
      </c>
      <c r="H1095" s="111">
        <v>4998.6313700000001</v>
      </c>
      <c r="I1095" s="111">
        <v>0</v>
      </c>
      <c r="J1095" s="111">
        <v>0</v>
      </c>
      <c r="K1095" s="138" t="s">
        <v>1229</v>
      </c>
    </row>
    <row r="1096" spans="1:11" s="51" customFormat="1" ht="114.6" customHeight="1" x14ac:dyDescent="0.25">
      <c r="A1096" s="110" t="s">
        <v>2607</v>
      </c>
      <c r="B1096" s="244"/>
      <c r="C1096" s="138" t="s">
        <v>1251</v>
      </c>
      <c r="D1096" s="138" t="s">
        <v>1252</v>
      </c>
      <c r="E1096" s="74" t="s">
        <v>1203</v>
      </c>
      <c r="F1096" s="111">
        <v>540</v>
      </c>
      <c r="G1096" s="111">
        <v>0</v>
      </c>
      <c r="H1096" s="111">
        <v>540</v>
      </c>
      <c r="I1096" s="111">
        <v>0</v>
      </c>
      <c r="J1096" s="111">
        <v>0</v>
      </c>
      <c r="K1096" s="138" t="s">
        <v>316</v>
      </c>
    </row>
    <row r="1097" spans="1:11" s="51" customFormat="1" ht="87.6" customHeight="1" x14ac:dyDescent="0.25">
      <c r="A1097" s="110" t="s">
        <v>2608</v>
      </c>
      <c r="B1097" s="244"/>
      <c r="C1097" s="138" t="s">
        <v>1253</v>
      </c>
      <c r="D1097" s="138" t="s">
        <v>1211</v>
      </c>
      <c r="E1097" s="74" t="s">
        <v>21</v>
      </c>
      <c r="F1097" s="111">
        <v>2364.5430899999997</v>
      </c>
      <c r="G1097" s="111">
        <v>0</v>
      </c>
      <c r="H1097" s="111">
        <v>2364.5430899999997</v>
      </c>
      <c r="I1097" s="111">
        <v>0</v>
      </c>
      <c r="J1097" s="111">
        <v>0</v>
      </c>
      <c r="K1097" s="138" t="s">
        <v>1236</v>
      </c>
    </row>
    <row r="1098" spans="1:11" s="51" customFormat="1" ht="53.4" customHeight="1" x14ac:dyDescent="0.25">
      <c r="A1098" s="110" t="s">
        <v>2609</v>
      </c>
      <c r="B1098" s="244"/>
      <c r="C1098" s="138" t="s">
        <v>1254</v>
      </c>
      <c r="D1098" s="138" t="s">
        <v>1213</v>
      </c>
      <c r="E1098" s="74" t="s">
        <v>21</v>
      </c>
      <c r="F1098" s="111">
        <v>1604.9575199999999</v>
      </c>
      <c r="G1098" s="111">
        <v>0</v>
      </c>
      <c r="H1098" s="111">
        <v>1604.9575199999999</v>
      </c>
      <c r="I1098" s="111">
        <v>0</v>
      </c>
      <c r="J1098" s="111">
        <v>0</v>
      </c>
      <c r="K1098" s="138" t="s">
        <v>1255</v>
      </c>
    </row>
    <row r="1099" spans="1:11" s="51" customFormat="1" ht="106.2" customHeight="1" x14ac:dyDescent="0.25">
      <c r="A1099" s="110" t="s">
        <v>2610</v>
      </c>
      <c r="B1099" s="244"/>
      <c r="C1099" s="138" t="s">
        <v>1256</v>
      </c>
      <c r="D1099" s="138" t="s">
        <v>1257</v>
      </c>
      <c r="E1099" s="74" t="s">
        <v>1203</v>
      </c>
      <c r="F1099" s="111">
        <v>2000.0417</v>
      </c>
      <c r="G1099" s="111">
        <v>0</v>
      </c>
      <c r="H1099" s="111">
        <v>2000.0417</v>
      </c>
      <c r="I1099" s="111">
        <v>0</v>
      </c>
      <c r="J1099" s="111">
        <v>0</v>
      </c>
      <c r="K1099" s="138" t="s">
        <v>1229</v>
      </c>
    </row>
    <row r="1100" spans="1:11" s="51" customFormat="1" ht="106.2" customHeight="1" x14ac:dyDescent="0.25">
      <c r="A1100" s="110" t="s">
        <v>2611</v>
      </c>
      <c r="B1100" s="244"/>
      <c r="C1100" s="138" t="s">
        <v>1217</v>
      </c>
      <c r="D1100" s="112" t="s">
        <v>1148</v>
      </c>
      <c r="E1100" s="74" t="s">
        <v>21</v>
      </c>
      <c r="F1100" s="111">
        <v>19.333400000000001</v>
      </c>
      <c r="G1100" s="111">
        <v>0</v>
      </c>
      <c r="H1100" s="111">
        <v>19.333400000000001</v>
      </c>
      <c r="I1100" s="111">
        <v>0</v>
      </c>
      <c r="J1100" s="111">
        <v>0</v>
      </c>
      <c r="K1100" s="138" t="s">
        <v>1258</v>
      </c>
    </row>
    <row r="1101" spans="1:11" s="51" customFormat="1" ht="27" customHeight="1" x14ac:dyDescent="0.3">
      <c r="A1101" s="219" t="s">
        <v>1259</v>
      </c>
      <c r="B1101" s="218"/>
      <c r="C1101" s="218"/>
      <c r="D1101" s="218"/>
      <c r="E1101" s="218"/>
      <c r="F1101" s="114">
        <f>SUM(F1072:F1100)</f>
        <v>29599.104289999999</v>
      </c>
      <c r="G1101" s="114">
        <f t="shared" ref="G1101:J1101" si="39">SUM(G1072:G1100)</f>
        <v>0</v>
      </c>
      <c r="H1101" s="114">
        <f t="shared" si="39"/>
        <v>28273.104289999999</v>
      </c>
      <c r="I1101" s="114">
        <f t="shared" si="39"/>
        <v>1326</v>
      </c>
      <c r="J1101" s="114">
        <f t="shared" si="39"/>
        <v>0</v>
      </c>
      <c r="K1101" s="115"/>
    </row>
    <row r="1102" spans="1:11" s="51" customFormat="1" ht="66" x14ac:dyDescent="0.25">
      <c r="A1102" s="110" t="s">
        <v>2612</v>
      </c>
      <c r="B1102" s="243" t="s">
        <v>1146</v>
      </c>
      <c r="C1102" s="138" t="s">
        <v>1260</v>
      </c>
      <c r="D1102" s="138" t="s">
        <v>1162</v>
      </c>
      <c r="E1102" s="74" t="s">
        <v>21</v>
      </c>
      <c r="F1102" s="111">
        <v>191.01</v>
      </c>
      <c r="G1102" s="111">
        <v>0</v>
      </c>
      <c r="H1102" s="111">
        <v>0</v>
      </c>
      <c r="I1102" s="111">
        <v>191.01</v>
      </c>
      <c r="J1102" s="111">
        <v>0</v>
      </c>
      <c r="K1102" s="138" t="s">
        <v>318</v>
      </c>
    </row>
    <row r="1103" spans="1:11" s="51" customFormat="1" ht="81.599999999999994" customHeight="1" x14ac:dyDescent="0.25">
      <c r="A1103" s="110" t="s">
        <v>2613</v>
      </c>
      <c r="B1103" s="199"/>
      <c r="C1103" s="138" t="s">
        <v>1261</v>
      </c>
      <c r="D1103" s="138" t="s">
        <v>1150</v>
      </c>
      <c r="E1103" s="74" t="s">
        <v>21</v>
      </c>
      <c r="F1103" s="111">
        <v>198.20400000000001</v>
      </c>
      <c r="G1103" s="111">
        <v>0</v>
      </c>
      <c r="H1103" s="111">
        <v>0</v>
      </c>
      <c r="I1103" s="111">
        <v>198.20400000000001</v>
      </c>
      <c r="J1103" s="111">
        <v>0</v>
      </c>
      <c r="K1103" s="138" t="s">
        <v>1262</v>
      </c>
    </row>
    <row r="1104" spans="1:11" s="51" customFormat="1" ht="97.2" customHeight="1" x14ac:dyDescent="0.25">
      <c r="A1104" s="110" t="s">
        <v>2614</v>
      </c>
      <c r="B1104" s="199"/>
      <c r="C1104" s="138" t="s">
        <v>1263</v>
      </c>
      <c r="D1104" s="138" t="s">
        <v>1148</v>
      </c>
      <c r="E1104" s="74" t="s">
        <v>21</v>
      </c>
      <c r="F1104" s="111">
        <v>23.333400000000001</v>
      </c>
      <c r="G1104" s="111">
        <v>0</v>
      </c>
      <c r="H1104" s="111">
        <v>0</v>
      </c>
      <c r="I1104" s="111">
        <v>23.333400000000001</v>
      </c>
      <c r="J1104" s="111">
        <v>0</v>
      </c>
      <c r="K1104" s="138" t="s">
        <v>359</v>
      </c>
    </row>
    <row r="1105" spans="1:11" s="51" customFormat="1" ht="81.599999999999994" customHeight="1" x14ac:dyDescent="0.25">
      <c r="A1105" s="110" t="s">
        <v>2615</v>
      </c>
      <c r="B1105" s="199"/>
      <c r="C1105" s="138" t="s">
        <v>1264</v>
      </c>
      <c r="D1105" s="138" t="s">
        <v>1152</v>
      </c>
      <c r="E1105" s="74" t="s">
        <v>21</v>
      </c>
      <c r="F1105" s="111">
        <v>152.93667000000002</v>
      </c>
      <c r="G1105" s="111">
        <v>0</v>
      </c>
      <c r="H1105" s="111">
        <v>0</v>
      </c>
      <c r="I1105" s="111">
        <v>152.93667000000002</v>
      </c>
      <c r="J1105" s="111">
        <v>0</v>
      </c>
      <c r="K1105" s="138" t="s">
        <v>1265</v>
      </c>
    </row>
    <row r="1106" spans="1:11" s="51" customFormat="1" ht="81.599999999999994" customHeight="1" x14ac:dyDescent="0.25">
      <c r="A1106" s="110" t="s">
        <v>2616</v>
      </c>
      <c r="B1106" s="199"/>
      <c r="C1106" s="138" t="s">
        <v>1266</v>
      </c>
      <c r="D1106" s="138" t="s">
        <v>1168</v>
      </c>
      <c r="E1106" s="74" t="s">
        <v>21</v>
      </c>
      <c r="F1106" s="111">
        <v>166.4</v>
      </c>
      <c r="G1106" s="111">
        <v>0</v>
      </c>
      <c r="H1106" s="111">
        <v>0</v>
      </c>
      <c r="I1106" s="111">
        <v>166.4</v>
      </c>
      <c r="J1106" s="111">
        <v>0</v>
      </c>
      <c r="K1106" s="138" t="s">
        <v>614</v>
      </c>
    </row>
    <row r="1107" spans="1:11" s="51" customFormat="1" ht="81.599999999999994" customHeight="1" x14ac:dyDescent="0.25">
      <c r="A1107" s="110" t="s">
        <v>2617</v>
      </c>
      <c r="B1107" s="199"/>
      <c r="C1107" s="138" t="s">
        <v>1267</v>
      </c>
      <c r="D1107" s="138" t="s">
        <v>1158</v>
      </c>
      <c r="E1107" s="74" t="s">
        <v>21</v>
      </c>
      <c r="F1107" s="111">
        <v>115.73365</v>
      </c>
      <c r="G1107" s="111">
        <v>0</v>
      </c>
      <c r="H1107" s="111">
        <v>0</v>
      </c>
      <c r="I1107" s="111">
        <v>115.73365</v>
      </c>
      <c r="J1107" s="111">
        <v>0</v>
      </c>
      <c r="K1107" s="138" t="s">
        <v>318</v>
      </c>
    </row>
    <row r="1108" spans="1:11" s="51" customFormat="1" ht="81.599999999999994" customHeight="1" x14ac:dyDescent="0.25">
      <c r="A1108" s="110" t="s">
        <v>2618</v>
      </c>
      <c r="B1108" s="199"/>
      <c r="C1108" s="138" t="s">
        <v>1268</v>
      </c>
      <c r="D1108" s="138" t="s">
        <v>1228</v>
      </c>
      <c r="E1108" s="74" t="s">
        <v>21</v>
      </c>
      <c r="F1108" s="111">
        <v>68.480829999999997</v>
      </c>
      <c r="G1108" s="111">
        <v>0</v>
      </c>
      <c r="H1108" s="111">
        <v>0</v>
      </c>
      <c r="I1108" s="111">
        <v>68.480829999999997</v>
      </c>
      <c r="J1108" s="111">
        <v>0</v>
      </c>
      <c r="K1108" s="138" t="s">
        <v>1269</v>
      </c>
    </row>
    <row r="1109" spans="1:11" s="51" customFormat="1" ht="81.599999999999994" customHeight="1" x14ac:dyDescent="0.25">
      <c r="A1109" s="110" t="s">
        <v>2619</v>
      </c>
      <c r="B1109" s="199"/>
      <c r="C1109" s="138" t="s">
        <v>1270</v>
      </c>
      <c r="D1109" s="138" t="s">
        <v>1170</v>
      </c>
      <c r="E1109" s="74" t="s">
        <v>1203</v>
      </c>
      <c r="F1109" s="111">
        <v>1250</v>
      </c>
      <c r="G1109" s="111">
        <v>0</v>
      </c>
      <c r="H1109" s="111">
        <v>0</v>
      </c>
      <c r="I1109" s="111">
        <v>1250</v>
      </c>
      <c r="J1109" s="111">
        <v>0</v>
      </c>
      <c r="K1109" s="138" t="s">
        <v>1269</v>
      </c>
    </row>
    <row r="1110" spans="1:11" s="51" customFormat="1" ht="81.599999999999994" customHeight="1" x14ac:dyDescent="0.25">
      <c r="A1110" s="110" t="s">
        <v>2620</v>
      </c>
      <c r="B1110" s="199"/>
      <c r="C1110" s="138" t="s">
        <v>1271</v>
      </c>
      <c r="D1110" s="138" t="s">
        <v>1172</v>
      </c>
      <c r="E1110" s="74" t="s">
        <v>21</v>
      </c>
      <c r="F1110" s="111">
        <v>879.5</v>
      </c>
      <c r="G1110" s="111">
        <v>0</v>
      </c>
      <c r="H1110" s="111">
        <v>0</v>
      </c>
      <c r="I1110" s="111">
        <v>879.5</v>
      </c>
      <c r="J1110" s="111">
        <v>0</v>
      </c>
      <c r="K1110" s="138" t="s">
        <v>1265</v>
      </c>
    </row>
    <row r="1111" spans="1:11" s="51" customFormat="1" ht="81.599999999999994" customHeight="1" x14ac:dyDescent="0.25">
      <c r="A1111" s="110" t="s">
        <v>2621</v>
      </c>
      <c r="B1111" s="199"/>
      <c r="C1111" s="138" t="s">
        <v>1272</v>
      </c>
      <c r="D1111" s="138" t="s">
        <v>1174</v>
      </c>
      <c r="E1111" s="74" t="s">
        <v>21</v>
      </c>
      <c r="F1111" s="111">
        <v>560</v>
      </c>
      <c r="G1111" s="111">
        <v>0</v>
      </c>
      <c r="H1111" s="111">
        <v>0</v>
      </c>
      <c r="I1111" s="111">
        <v>560</v>
      </c>
      <c r="J1111" s="111">
        <v>0</v>
      </c>
      <c r="K1111" s="138" t="s">
        <v>318</v>
      </c>
    </row>
    <row r="1112" spans="1:11" s="51" customFormat="1" ht="81.599999999999994" customHeight="1" x14ac:dyDescent="0.25">
      <c r="A1112" s="110" t="s">
        <v>2622</v>
      </c>
      <c r="B1112" s="199"/>
      <c r="C1112" s="138" t="s">
        <v>1273</v>
      </c>
      <c r="D1112" s="138" t="s">
        <v>1176</v>
      </c>
      <c r="E1112" s="74" t="s">
        <v>21</v>
      </c>
      <c r="F1112" s="111">
        <v>60</v>
      </c>
      <c r="G1112" s="111">
        <v>0</v>
      </c>
      <c r="H1112" s="111">
        <v>0</v>
      </c>
      <c r="I1112" s="111">
        <v>60</v>
      </c>
      <c r="J1112" s="111">
        <v>0</v>
      </c>
      <c r="K1112" s="138" t="s">
        <v>318</v>
      </c>
    </row>
    <row r="1113" spans="1:11" s="51" customFormat="1" ht="81.599999999999994" customHeight="1" x14ac:dyDescent="0.25">
      <c r="A1113" s="110" t="s">
        <v>2623</v>
      </c>
      <c r="B1113" s="199"/>
      <c r="C1113" s="138" t="s">
        <v>1274</v>
      </c>
      <c r="D1113" s="138" t="s">
        <v>1178</v>
      </c>
      <c r="E1113" s="74" t="s">
        <v>21</v>
      </c>
      <c r="F1113" s="111">
        <v>2650</v>
      </c>
      <c r="G1113" s="111">
        <v>0</v>
      </c>
      <c r="H1113" s="111">
        <v>0</v>
      </c>
      <c r="I1113" s="111">
        <v>2650</v>
      </c>
      <c r="J1113" s="111">
        <v>0</v>
      </c>
      <c r="K1113" s="138" t="s">
        <v>1275</v>
      </c>
    </row>
    <row r="1114" spans="1:11" s="51" customFormat="1" ht="81.599999999999994" customHeight="1" x14ac:dyDescent="0.25">
      <c r="A1114" s="110" t="s">
        <v>2624</v>
      </c>
      <c r="B1114" s="199"/>
      <c r="C1114" s="138" t="s">
        <v>1276</v>
      </c>
      <c r="D1114" s="138" t="s">
        <v>1181</v>
      </c>
      <c r="E1114" s="74" t="s">
        <v>21</v>
      </c>
      <c r="F1114" s="111">
        <v>180</v>
      </c>
      <c r="G1114" s="111">
        <v>0</v>
      </c>
      <c r="H1114" s="111">
        <v>0</v>
      </c>
      <c r="I1114" s="111">
        <v>180</v>
      </c>
      <c r="J1114" s="111">
        <v>0</v>
      </c>
      <c r="K1114" s="138" t="s">
        <v>614</v>
      </c>
    </row>
    <row r="1115" spans="1:11" s="51" customFormat="1" ht="81.599999999999994" customHeight="1" x14ac:dyDescent="0.25">
      <c r="A1115" s="110" t="s">
        <v>2625</v>
      </c>
      <c r="B1115" s="199"/>
      <c r="C1115" s="138" t="s">
        <v>1277</v>
      </c>
      <c r="D1115" s="138" t="s">
        <v>1183</v>
      </c>
      <c r="E1115" s="74" t="s">
        <v>21</v>
      </c>
      <c r="F1115" s="111">
        <v>400</v>
      </c>
      <c r="G1115" s="111">
        <v>0</v>
      </c>
      <c r="H1115" s="111">
        <v>0</v>
      </c>
      <c r="I1115" s="111">
        <v>400</v>
      </c>
      <c r="J1115" s="111">
        <v>0</v>
      </c>
      <c r="K1115" s="138" t="s">
        <v>614</v>
      </c>
    </row>
    <row r="1116" spans="1:11" s="51" customFormat="1" ht="81.599999999999994" customHeight="1" x14ac:dyDescent="0.25">
      <c r="A1116" s="110" t="s">
        <v>2626</v>
      </c>
      <c r="B1116" s="199"/>
      <c r="C1116" s="138" t="s">
        <v>1278</v>
      </c>
      <c r="D1116" s="138" t="s">
        <v>1185</v>
      </c>
      <c r="E1116" s="74" t="s">
        <v>21</v>
      </c>
      <c r="F1116" s="111">
        <v>303</v>
      </c>
      <c r="G1116" s="111">
        <v>0</v>
      </c>
      <c r="H1116" s="111">
        <v>0</v>
      </c>
      <c r="I1116" s="111">
        <v>303</v>
      </c>
      <c r="J1116" s="111">
        <v>0</v>
      </c>
      <c r="K1116" s="138" t="s">
        <v>614</v>
      </c>
    </row>
    <row r="1117" spans="1:11" s="51" customFormat="1" ht="81.599999999999994" customHeight="1" x14ac:dyDescent="0.25">
      <c r="A1117" s="110" t="s">
        <v>2627</v>
      </c>
      <c r="B1117" s="199"/>
      <c r="C1117" s="138" t="s">
        <v>1279</v>
      </c>
      <c r="D1117" s="138" t="s">
        <v>1191</v>
      </c>
      <c r="E1117" s="74" t="s">
        <v>21</v>
      </c>
      <c r="F1117" s="111">
        <v>1345.6867199999999</v>
      </c>
      <c r="G1117" s="111">
        <v>0</v>
      </c>
      <c r="H1117" s="111">
        <v>0</v>
      </c>
      <c r="I1117" s="111">
        <v>1345.6867199999999</v>
      </c>
      <c r="J1117" s="111">
        <v>0</v>
      </c>
      <c r="K1117" s="138" t="s">
        <v>1262</v>
      </c>
    </row>
    <row r="1118" spans="1:11" s="51" customFormat="1" ht="81.599999999999994" customHeight="1" x14ac:dyDescent="0.25">
      <c r="A1118" s="110" t="s">
        <v>2628</v>
      </c>
      <c r="B1118" s="199"/>
      <c r="C1118" s="138" t="s">
        <v>1280</v>
      </c>
      <c r="D1118" s="138" t="s">
        <v>1189</v>
      </c>
      <c r="E1118" s="74" t="s">
        <v>21</v>
      </c>
      <c r="F1118" s="111">
        <v>528.46154000000001</v>
      </c>
      <c r="G1118" s="111">
        <v>0</v>
      </c>
      <c r="H1118" s="111">
        <v>0</v>
      </c>
      <c r="I1118" s="111">
        <v>528.46154000000001</v>
      </c>
      <c r="J1118" s="111">
        <v>0</v>
      </c>
      <c r="K1118" s="138" t="s">
        <v>318</v>
      </c>
    </row>
    <row r="1119" spans="1:11" s="51" customFormat="1" ht="81.599999999999994" customHeight="1" x14ac:dyDescent="0.25">
      <c r="A1119" s="110" t="s">
        <v>2629</v>
      </c>
      <c r="B1119" s="199"/>
      <c r="C1119" s="138" t="s">
        <v>1281</v>
      </c>
      <c r="D1119" s="138" t="s">
        <v>1187</v>
      </c>
      <c r="E1119" s="74" t="s">
        <v>21</v>
      </c>
      <c r="F1119" s="111">
        <v>250</v>
      </c>
      <c r="G1119" s="111">
        <v>0</v>
      </c>
      <c r="H1119" s="111">
        <v>0</v>
      </c>
      <c r="I1119" s="111">
        <v>250</v>
      </c>
      <c r="J1119" s="111">
        <v>0</v>
      </c>
      <c r="K1119" s="138" t="s">
        <v>1275</v>
      </c>
    </row>
    <row r="1120" spans="1:11" s="51" customFormat="1" ht="81.599999999999994" customHeight="1" x14ac:dyDescent="0.25">
      <c r="A1120" s="110" t="s">
        <v>2630</v>
      </c>
      <c r="B1120" s="199"/>
      <c r="C1120" s="138" t="s">
        <v>1282</v>
      </c>
      <c r="D1120" s="138" t="s">
        <v>1193</v>
      </c>
      <c r="E1120" s="74" t="s">
        <v>21</v>
      </c>
      <c r="F1120" s="111">
        <v>794.91680000000008</v>
      </c>
      <c r="G1120" s="111">
        <v>0</v>
      </c>
      <c r="H1120" s="111">
        <v>0</v>
      </c>
      <c r="I1120" s="111">
        <v>794.91680000000008</v>
      </c>
      <c r="J1120" s="111">
        <v>0</v>
      </c>
      <c r="K1120" s="138" t="s">
        <v>1262</v>
      </c>
    </row>
    <row r="1121" spans="1:11" s="51" customFormat="1" ht="103.8" customHeight="1" x14ac:dyDescent="0.25">
      <c r="A1121" s="110" t="s">
        <v>2631</v>
      </c>
      <c r="B1121" s="199"/>
      <c r="C1121" s="138" t="s">
        <v>1283</v>
      </c>
      <c r="D1121" s="138" t="s">
        <v>1195</v>
      </c>
      <c r="E1121" s="74" t="s">
        <v>21</v>
      </c>
      <c r="F1121" s="111">
        <v>999.6327</v>
      </c>
      <c r="G1121" s="111">
        <v>0</v>
      </c>
      <c r="H1121" s="111">
        <v>0</v>
      </c>
      <c r="I1121" s="111">
        <v>999.6327</v>
      </c>
      <c r="J1121" s="111">
        <v>0</v>
      </c>
      <c r="K1121" s="138" t="s">
        <v>1284</v>
      </c>
    </row>
    <row r="1122" spans="1:11" s="51" customFormat="1" ht="102" customHeight="1" x14ac:dyDescent="0.25">
      <c r="A1122" s="110" t="s">
        <v>2632</v>
      </c>
      <c r="B1122" s="199"/>
      <c r="C1122" s="138" t="s">
        <v>1285</v>
      </c>
      <c r="D1122" s="138" t="s">
        <v>1198</v>
      </c>
      <c r="E1122" s="74" t="s">
        <v>21</v>
      </c>
      <c r="F1122" s="111">
        <v>4566.6499999999996</v>
      </c>
      <c r="G1122" s="111">
        <v>0</v>
      </c>
      <c r="H1122" s="111">
        <v>0</v>
      </c>
      <c r="I1122" s="111">
        <v>4566.6499999999996</v>
      </c>
      <c r="J1122" s="111">
        <v>0</v>
      </c>
      <c r="K1122" s="138" t="s">
        <v>1286</v>
      </c>
    </row>
    <row r="1123" spans="1:11" s="51" customFormat="1" ht="81.599999999999994" customHeight="1" x14ac:dyDescent="0.25">
      <c r="A1123" s="110" t="s">
        <v>2633</v>
      </c>
      <c r="B1123" s="199"/>
      <c r="C1123" s="138" t="s">
        <v>1287</v>
      </c>
      <c r="D1123" s="138" t="s">
        <v>1288</v>
      </c>
      <c r="E1123" s="74" t="s">
        <v>21</v>
      </c>
      <c r="F1123" s="111">
        <v>882.58822999999995</v>
      </c>
      <c r="G1123" s="111">
        <v>0</v>
      </c>
      <c r="H1123" s="111">
        <v>0</v>
      </c>
      <c r="I1123" s="111">
        <v>882.58822999999995</v>
      </c>
      <c r="J1123" s="111">
        <v>0</v>
      </c>
      <c r="K1123" s="138" t="s">
        <v>359</v>
      </c>
    </row>
    <row r="1124" spans="1:11" s="51" customFormat="1" ht="103.2" customHeight="1" x14ac:dyDescent="0.25">
      <c r="A1124" s="110" t="s">
        <v>2634</v>
      </c>
      <c r="B1124" s="199"/>
      <c r="C1124" s="138" t="s">
        <v>1289</v>
      </c>
      <c r="D1124" s="138" t="s">
        <v>1202</v>
      </c>
      <c r="E1124" s="74" t="s">
        <v>1203</v>
      </c>
      <c r="F1124" s="111">
        <v>4998.6313700000001</v>
      </c>
      <c r="G1124" s="111">
        <v>0</v>
      </c>
      <c r="H1124" s="111">
        <v>0</v>
      </c>
      <c r="I1124" s="111">
        <v>4998.6313700000001</v>
      </c>
      <c r="J1124" s="111">
        <v>0</v>
      </c>
      <c r="K1124" s="138" t="s">
        <v>1269</v>
      </c>
    </row>
    <row r="1125" spans="1:11" s="51" customFormat="1" ht="104.4" customHeight="1" x14ac:dyDescent="0.25">
      <c r="A1125" s="110" t="s">
        <v>2635</v>
      </c>
      <c r="B1125" s="199"/>
      <c r="C1125" s="138" t="s">
        <v>1290</v>
      </c>
      <c r="D1125" s="138" t="s">
        <v>1291</v>
      </c>
      <c r="E1125" s="74" t="s">
        <v>1203</v>
      </c>
      <c r="F1125" s="111">
        <v>540</v>
      </c>
      <c r="G1125" s="111">
        <v>0</v>
      </c>
      <c r="H1125" s="111">
        <v>0</v>
      </c>
      <c r="I1125" s="111">
        <v>540</v>
      </c>
      <c r="J1125" s="111">
        <v>0</v>
      </c>
      <c r="K1125" s="138" t="s">
        <v>1269</v>
      </c>
    </row>
    <row r="1126" spans="1:11" s="51" customFormat="1" ht="81.599999999999994" customHeight="1" x14ac:dyDescent="0.25">
      <c r="A1126" s="110" t="s">
        <v>2636</v>
      </c>
      <c r="B1126" s="199"/>
      <c r="C1126" s="138" t="s">
        <v>1292</v>
      </c>
      <c r="D1126" s="138" t="s">
        <v>1211</v>
      </c>
      <c r="E1126" s="74" t="s">
        <v>21</v>
      </c>
      <c r="F1126" s="111">
        <v>2364.5430899999997</v>
      </c>
      <c r="G1126" s="111">
        <v>0</v>
      </c>
      <c r="H1126" s="111">
        <v>0</v>
      </c>
      <c r="I1126" s="111">
        <v>2364.5430899999997</v>
      </c>
      <c r="J1126" s="111">
        <v>0</v>
      </c>
      <c r="K1126" s="138" t="s">
        <v>1275</v>
      </c>
    </row>
    <row r="1127" spans="1:11" s="51" customFormat="1" ht="81.599999999999994" customHeight="1" x14ac:dyDescent="0.25">
      <c r="A1127" s="110" t="s">
        <v>2637</v>
      </c>
      <c r="B1127" s="199"/>
      <c r="C1127" s="138" t="s">
        <v>1293</v>
      </c>
      <c r="D1127" s="138" t="s">
        <v>1213</v>
      </c>
      <c r="E1127" s="74" t="s">
        <v>21</v>
      </c>
      <c r="F1127" s="111">
        <v>1604.9575199999999</v>
      </c>
      <c r="G1127" s="111">
        <v>0</v>
      </c>
      <c r="H1127" s="111">
        <v>0</v>
      </c>
      <c r="I1127" s="111">
        <v>1604.9575199999999</v>
      </c>
      <c r="J1127" s="111">
        <v>0</v>
      </c>
      <c r="K1127" s="138" t="s">
        <v>1294</v>
      </c>
    </row>
    <row r="1128" spans="1:11" s="51" customFormat="1" ht="81.599999999999994" customHeight="1" x14ac:dyDescent="0.25">
      <c r="A1128" s="110" t="s">
        <v>2638</v>
      </c>
      <c r="B1128" s="199"/>
      <c r="C1128" s="138" t="s">
        <v>1217</v>
      </c>
      <c r="D1128" s="112" t="s">
        <v>1148</v>
      </c>
      <c r="E1128" s="74" t="s">
        <v>21</v>
      </c>
      <c r="F1128" s="111">
        <v>23.333400000000001</v>
      </c>
      <c r="G1128" s="111">
        <v>0</v>
      </c>
      <c r="H1128" s="111">
        <v>0</v>
      </c>
      <c r="I1128" s="111">
        <v>23.333400000000001</v>
      </c>
      <c r="J1128" s="111">
        <v>0</v>
      </c>
      <c r="K1128" s="138" t="s">
        <v>1295</v>
      </c>
    </row>
    <row r="1129" spans="1:11" s="51" customFormat="1" ht="81.599999999999994" customHeight="1" x14ac:dyDescent="0.25">
      <c r="A1129" s="110" t="s">
        <v>2639</v>
      </c>
      <c r="B1129" s="199"/>
      <c r="C1129" s="138" t="s">
        <v>1296</v>
      </c>
      <c r="D1129" s="138" t="s">
        <v>1257</v>
      </c>
      <c r="E1129" s="74" t="s">
        <v>1203</v>
      </c>
      <c r="F1129" s="111">
        <v>2000.0417</v>
      </c>
      <c r="G1129" s="111">
        <v>0</v>
      </c>
      <c r="H1129" s="111">
        <v>0</v>
      </c>
      <c r="I1129" s="111">
        <v>2000.0417</v>
      </c>
      <c r="J1129" s="111">
        <v>0</v>
      </c>
      <c r="K1129" s="138" t="s">
        <v>1269</v>
      </c>
    </row>
    <row r="1130" spans="1:11" s="51" customFormat="1" ht="30.6" customHeight="1" x14ac:dyDescent="0.3">
      <c r="A1130" s="219" t="s">
        <v>1297</v>
      </c>
      <c r="B1130" s="218"/>
      <c r="C1130" s="218"/>
      <c r="D1130" s="218"/>
      <c r="E1130" s="218"/>
      <c r="F1130" s="114">
        <f>SUM(F1102:F1129)</f>
        <v>28098.04162</v>
      </c>
      <c r="G1130" s="114">
        <f t="shared" ref="G1130:J1130" si="40">SUM(G1102:G1129)</f>
        <v>0</v>
      </c>
      <c r="H1130" s="114">
        <f t="shared" si="40"/>
        <v>0</v>
      </c>
      <c r="I1130" s="114">
        <f t="shared" si="40"/>
        <v>28098.04162</v>
      </c>
      <c r="J1130" s="114">
        <f t="shared" si="40"/>
        <v>0</v>
      </c>
      <c r="K1130" s="115"/>
    </row>
    <row r="1131" spans="1:11" s="51" customFormat="1" ht="60.6" customHeight="1" x14ac:dyDescent="0.25">
      <c r="A1131" s="116">
        <v>880</v>
      </c>
      <c r="B1131" s="230" t="s">
        <v>1298</v>
      </c>
      <c r="C1131" s="141" t="s">
        <v>1299</v>
      </c>
      <c r="D1131" s="191" t="s">
        <v>1300</v>
      </c>
      <c r="E1131" s="143" t="s">
        <v>12</v>
      </c>
      <c r="F1131" s="143">
        <v>991.13476000000003</v>
      </c>
      <c r="G1131" s="143">
        <v>991.13476000000003</v>
      </c>
      <c r="H1131" s="141">
        <v>0</v>
      </c>
      <c r="I1131" s="141">
        <v>0</v>
      </c>
      <c r="J1131" s="141">
        <v>0</v>
      </c>
      <c r="K1131" s="36">
        <v>44743</v>
      </c>
    </row>
    <row r="1132" spans="1:11" s="51" customFormat="1" ht="39.75" customHeight="1" x14ac:dyDescent="0.25">
      <c r="A1132" s="116">
        <v>881</v>
      </c>
      <c r="B1132" s="231"/>
      <c r="C1132" s="141" t="s">
        <v>1301</v>
      </c>
      <c r="D1132" s="191" t="s">
        <v>1302</v>
      </c>
      <c r="E1132" s="143" t="s">
        <v>271</v>
      </c>
      <c r="F1132" s="143">
        <v>2350.7417599999999</v>
      </c>
      <c r="G1132" s="143">
        <v>2350.7417599999999</v>
      </c>
      <c r="H1132" s="141">
        <v>0</v>
      </c>
      <c r="I1132" s="141">
        <v>0</v>
      </c>
      <c r="J1132" s="141">
        <v>0</v>
      </c>
      <c r="K1132" s="36">
        <v>44805</v>
      </c>
    </row>
    <row r="1133" spans="1:11" s="51" customFormat="1" ht="19.2" customHeight="1" x14ac:dyDescent="0.25">
      <c r="A1133" s="224" t="s">
        <v>1303</v>
      </c>
      <c r="B1133" s="225"/>
      <c r="C1133" s="225"/>
      <c r="D1133" s="225"/>
      <c r="E1133" s="225"/>
      <c r="F1133" s="53">
        <f>SUM(F1131:F1132)</f>
        <v>3341.8765199999998</v>
      </c>
      <c r="G1133" s="53">
        <f>SUM(G1131:G1132)</f>
        <v>3341.8765199999998</v>
      </c>
      <c r="H1133" s="53">
        <v>0</v>
      </c>
      <c r="I1133" s="53">
        <v>0</v>
      </c>
      <c r="J1133" s="53">
        <v>0</v>
      </c>
      <c r="K1133" s="117"/>
    </row>
    <row r="1134" spans="1:11" s="51" customFormat="1" ht="44.4" customHeight="1" x14ac:dyDescent="0.25">
      <c r="A1134" s="116">
        <v>882</v>
      </c>
      <c r="B1134" s="230" t="s">
        <v>1298</v>
      </c>
      <c r="C1134" s="141" t="s">
        <v>1304</v>
      </c>
      <c r="D1134" s="191" t="s">
        <v>1305</v>
      </c>
      <c r="E1134" s="143" t="s">
        <v>12</v>
      </c>
      <c r="F1134" s="143">
        <v>1035.808</v>
      </c>
      <c r="G1134" s="143">
        <v>0</v>
      </c>
      <c r="H1134" s="143">
        <v>1035.808</v>
      </c>
      <c r="I1134" s="143">
        <v>0</v>
      </c>
      <c r="J1134" s="143">
        <v>0</v>
      </c>
      <c r="K1134" s="36">
        <v>45047</v>
      </c>
    </row>
    <row r="1135" spans="1:11" s="51" customFormat="1" ht="44.4" customHeight="1" x14ac:dyDescent="0.25">
      <c r="A1135" s="116">
        <v>883</v>
      </c>
      <c r="B1135" s="231"/>
      <c r="C1135" s="141" t="s">
        <v>1306</v>
      </c>
      <c r="D1135" s="191" t="s">
        <v>1300</v>
      </c>
      <c r="E1135" s="143" t="s">
        <v>12</v>
      </c>
      <c r="F1135" s="143">
        <v>705.31042000000002</v>
      </c>
      <c r="G1135" s="143">
        <v>0</v>
      </c>
      <c r="H1135" s="143">
        <v>705.31042000000002</v>
      </c>
      <c r="I1135" s="143">
        <v>0</v>
      </c>
      <c r="J1135" s="143">
        <v>0</v>
      </c>
      <c r="K1135" s="36">
        <v>44835</v>
      </c>
    </row>
    <row r="1136" spans="1:11" s="51" customFormat="1" ht="44.4" customHeight="1" x14ac:dyDescent="0.25">
      <c r="A1136" s="116">
        <v>884</v>
      </c>
      <c r="B1136" s="231"/>
      <c r="C1136" s="141" t="s">
        <v>1307</v>
      </c>
      <c r="D1136" s="191" t="s">
        <v>1308</v>
      </c>
      <c r="E1136" s="143" t="s">
        <v>12</v>
      </c>
      <c r="F1136" s="143">
        <v>989.31048999999996</v>
      </c>
      <c r="G1136" s="143">
        <v>0</v>
      </c>
      <c r="H1136" s="143">
        <v>989.31048999999996</v>
      </c>
      <c r="I1136" s="143">
        <v>0</v>
      </c>
      <c r="J1136" s="143">
        <v>0</v>
      </c>
      <c r="K1136" s="36">
        <v>44835</v>
      </c>
    </row>
    <row r="1137" spans="1:11" s="51" customFormat="1" ht="44.4" customHeight="1" x14ac:dyDescent="0.25">
      <c r="A1137" s="116">
        <v>885</v>
      </c>
      <c r="B1137" s="231"/>
      <c r="C1137" s="141" t="s">
        <v>1309</v>
      </c>
      <c r="D1137" s="191" t="s">
        <v>1310</v>
      </c>
      <c r="E1137" s="143" t="s">
        <v>12</v>
      </c>
      <c r="F1137" s="143">
        <v>456.30851000000001</v>
      </c>
      <c r="G1137" s="143">
        <v>0</v>
      </c>
      <c r="H1137" s="143">
        <v>456.30851000000001</v>
      </c>
      <c r="I1137" s="143">
        <v>0</v>
      </c>
      <c r="J1137" s="143">
        <v>0</v>
      </c>
      <c r="K1137" s="36">
        <v>44805</v>
      </c>
    </row>
    <row r="1138" spans="1:11" s="51" customFormat="1" ht="44.4" customHeight="1" x14ac:dyDescent="0.25">
      <c r="A1138" s="116">
        <v>886</v>
      </c>
      <c r="B1138" s="231"/>
      <c r="C1138" s="141" t="s">
        <v>1311</v>
      </c>
      <c r="D1138" s="191" t="s">
        <v>1302</v>
      </c>
      <c r="E1138" s="143" t="s">
        <v>271</v>
      </c>
      <c r="F1138" s="143">
        <v>2350.7417599999999</v>
      </c>
      <c r="G1138" s="143">
        <v>0</v>
      </c>
      <c r="H1138" s="143">
        <v>2350.7417599999999</v>
      </c>
      <c r="I1138" s="143">
        <v>0</v>
      </c>
      <c r="J1138" s="143">
        <v>0</v>
      </c>
      <c r="K1138" s="36">
        <v>45170</v>
      </c>
    </row>
    <row r="1139" spans="1:11" s="51" customFormat="1" ht="44.4" customHeight="1" x14ac:dyDescent="0.25">
      <c r="A1139" s="116">
        <v>887</v>
      </c>
      <c r="B1139" s="231"/>
      <c r="C1139" s="141" t="s">
        <v>1312</v>
      </c>
      <c r="D1139" s="191" t="s">
        <v>49</v>
      </c>
      <c r="E1139" s="143" t="s">
        <v>12</v>
      </c>
      <c r="F1139" s="143">
        <v>2588.7445899999998</v>
      </c>
      <c r="G1139" s="143">
        <v>0</v>
      </c>
      <c r="H1139" s="143">
        <v>2588.7445899999998</v>
      </c>
      <c r="I1139" s="143">
        <v>0</v>
      </c>
      <c r="J1139" s="143">
        <v>0</v>
      </c>
      <c r="K1139" s="36">
        <v>44835</v>
      </c>
    </row>
    <row r="1140" spans="1:11" s="51" customFormat="1" ht="28.95" customHeight="1" x14ac:dyDescent="0.25">
      <c r="A1140" s="224" t="s">
        <v>1313</v>
      </c>
      <c r="B1140" s="225"/>
      <c r="C1140" s="225"/>
      <c r="D1140" s="225"/>
      <c r="E1140" s="225"/>
      <c r="F1140" s="53">
        <f>SUM(F1134:F1139)</f>
        <v>8126.2237700000005</v>
      </c>
      <c r="G1140" s="53">
        <f>SUM(G1134:G1139)</f>
        <v>0</v>
      </c>
      <c r="H1140" s="53">
        <f>SUM(H1134:H1139)</f>
        <v>8126.2237700000005</v>
      </c>
      <c r="I1140" s="53">
        <f>SUM(I1134:I1139)</f>
        <v>0</v>
      </c>
      <c r="J1140" s="53">
        <f>SUM(J1134:J1139)</f>
        <v>0</v>
      </c>
      <c r="K1140" s="117"/>
    </row>
    <row r="1141" spans="1:11" s="51" customFormat="1" ht="52.2" customHeight="1" x14ac:dyDescent="0.25">
      <c r="A1141" s="116">
        <v>888</v>
      </c>
      <c r="B1141" s="230" t="s">
        <v>1298</v>
      </c>
      <c r="C1141" s="141" t="s">
        <v>1314</v>
      </c>
      <c r="D1141" s="191" t="s">
        <v>1310</v>
      </c>
      <c r="E1141" s="143" t="s">
        <v>12</v>
      </c>
      <c r="F1141" s="143">
        <v>497.79129</v>
      </c>
      <c r="G1141" s="143">
        <v>0</v>
      </c>
      <c r="H1141" s="143">
        <v>0</v>
      </c>
      <c r="I1141" s="143">
        <v>497.79129</v>
      </c>
      <c r="J1141" s="143">
        <v>0</v>
      </c>
      <c r="K1141" s="36">
        <v>45170</v>
      </c>
    </row>
    <row r="1142" spans="1:11" s="51" customFormat="1" ht="52.2" customHeight="1" x14ac:dyDescent="0.25">
      <c r="A1142" s="116">
        <v>889</v>
      </c>
      <c r="B1142" s="231"/>
      <c r="C1142" s="141" t="s">
        <v>1315</v>
      </c>
      <c r="D1142" s="191" t="s">
        <v>1302</v>
      </c>
      <c r="E1142" s="143" t="s">
        <v>271</v>
      </c>
      <c r="F1142" s="143">
        <v>2350.7417599999999</v>
      </c>
      <c r="G1142" s="143">
        <v>0</v>
      </c>
      <c r="H1142" s="143">
        <v>0</v>
      </c>
      <c r="I1142" s="143">
        <v>2350.7417599999999</v>
      </c>
      <c r="J1142" s="143">
        <v>0</v>
      </c>
      <c r="K1142" s="36">
        <v>45536</v>
      </c>
    </row>
    <row r="1143" spans="1:11" s="52" customFormat="1" ht="52.2" customHeight="1" x14ac:dyDescent="0.25">
      <c r="A1143" s="116">
        <v>890</v>
      </c>
      <c r="B1143" s="231"/>
      <c r="C1143" s="141" t="s">
        <v>1316</v>
      </c>
      <c r="D1143" s="191" t="s">
        <v>1308</v>
      </c>
      <c r="E1143" s="143" t="s">
        <v>12</v>
      </c>
      <c r="F1143" s="143">
        <v>1089.3104900000001</v>
      </c>
      <c r="G1143" s="143">
        <v>0</v>
      </c>
      <c r="H1143" s="143">
        <v>0</v>
      </c>
      <c r="I1143" s="143">
        <v>1089.3104900000001</v>
      </c>
      <c r="J1143" s="143">
        <v>0</v>
      </c>
      <c r="K1143" s="36">
        <v>45200</v>
      </c>
    </row>
    <row r="1144" spans="1:11" s="51" customFormat="1" ht="52.2" customHeight="1" x14ac:dyDescent="0.25">
      <c r="A1144" s="116">
        <v>891</v>
      </c>
      <c r="B1144" s="231"/>
      <c r="C1144" s="141" t="s">
        <v>1317</v>
      </c>
      <c r="D1144" s="191" t="s">
        <v>1300</v>
      </c>
      <c r="E1144" s="143" t="s">
        <v>12</v>
      </c>
      <c r="F1144" s="143">
        <v>807.95339999999999</v>
      </c>
      <c r="G1144" s="143">
        <v>0</v>
      </c>
      <c r="H1144" s="143">
        <v>0</v>
      </c>
      <c r="I1144" s="143">
        <v>807.95339999999999</v>
      </c>
      <c r="J1144" s="143">
        <v>0</v>
      </c>
      <c r="K1144" s="36">
        <v>45200</v>
      </c>
    </row>
    <row r="1145" spans="1:11" s="51" customFormat="1" ht="52.2" customHeight="1" x14ac:dyDescent="0.25">
      <c r="A1145" s="116">
        <v>892</v>
      </c>
      <c r="B1145" s="231"/>
      <c r="C1145" s="141" t="s">
        <v>1318</v>
      </c>
      <c r="D1145" s="191" t="s">
        <v>49</v>
      </c>
      <c r="E1145" s="143" t="s">
        <v>12</v>
      </c>
      <c r="F1145" s="143">
        <v>2744.7164600000001</v>
      </c>
      <c r="G1145" s="143">
        <v>0</v>
      </c>
      <c r="H1145" s="143">
        <v>0</v>
      </c>
      <c r="I1145" s="143">
        <v>2744.7164600000001</v>
      </c>
      <c r="J1145" s="143">
        <v>0</v>
      </c>
      <c r="K1145" s="36">
        <v>45200</v>
      </c>
    </row>
    <row r="1146" spans="1:11" s="51" customFormat="1" ht="30.6" customHeight="1" x14ac:dyDescent="0.25">
      <c r="A1146" s="229" t="s">
        <v>1319</v>
      </c>
      <c r="B1146" s="228"/>
      <c r="C1146" s="228"/>
      <c r="D1146" s="228"/>
      <c r="E1146" s="228"/>
      <c r="F1146" s="53">
        <f>SUM(F1141:F1145)</f>
        <v>7490.5133999999998</v>
      </c>
      <c r="G1146" s="53">
        <f t="shared" ref="G1146:J1146" si="41">SUM(G1141:G1145)</f>
        <v>0</v>
      </c>
      <c r="H1146" s="53">
        <f t="shared" si="41"/>
        <v>0</v>
      </c>
      <c r="I1146" s="53">
        <f>SUM(I1141:I1145)</f>
        <v>7490.5133999999998</v>
      </c>
      <c r="J1146" s="53">
        <f t="shared" si="41"/>
        <v>0</v>
      </c>
      <c r="K1146" s="117"/>
    </row>
    <row r="1147" spans="1:11" s="51" customFormat="1" ht="39.6" x14ac:dyDescent="0.25">
      <c r="A1147" s="116">
        <v>893</v>
      </c>
      <c r="B1147" s="226" t="s">
        <v>1320</v>
      </c>
      <c r="C1147" s="144" t="s">
        <v>1321</v>
      </c>
      <c r="D1147" s="19" t="s">
        <v>1308</v>
      </c>
      <c r="E1147" s="19" t="s">
        <v>12</v>
      </c>
      <c r="F1147" s="144">
        <f>G1147</f>
        <v>1247.5842</v>
      </c>
      <c r="G1147" s="20">
        <f>1247584.2/1000</f>
        <v>1247.5842</v>
      </c>
      <c r="H1147" s="141">
        <v>0</v>
      </c>
      <c r="I1147" s="141">
        <v>0</v>
      </c>
      <c r="J1147" s="141">
        <v>0</v>
      </c>
      <c r="K1147" s="35">
        <v>44562</v>
      </c>
    </row>
    <row r="1148" spans="1:11" s="51" customFormat="1" ht="39.6" x14ac:dyDescent="0.25">
      <c r="A1148" s="116">
        <v>894</v>
      </c>
      <c r="B1148" s="226"/>
      <c r="C1148" s="144" t="s">
        <v>1322</v>
      </c>
      <c r="D1148" s="19" t="s">
        <v>49</v>
      </c>
      <c r="E1148" s="19" t="s">
        <v>12</v>
      </c>
      <c r="F1148" s="144">
        <f>G1148</f>
        <v>3329.6637900000001</v>
      </c>
      <c r="G1148" s="20">
        <f>3329663.79/1000</f>
        <v>3329.6637900000001</v>
      </c>
      <c r="H1148" s="141">
        <v>0</v>
      </c>
      <c r="I1148" s="141">
        <v>0</v>
      </c>
      <c r="J1148" s="141">
        <v>0</v>
      </c>
      <c r="K1148" s="35">
        <v>44562</v>
      </c>
    </row>
    <row r="1149" spans="1:11" s="51" customFormat="1" ht="61.8" customHeight="1" x14ac:dyDescent="0.25">
      <c r="A1149" s="116">
        <v>895</v>
      </c>
      <c r="B1149" s="226"/>
      <c r="C1149" s="144" t="s">
        <v>1323</v>
      </c>
      <c r="D1149" s="20" t="s">
        <v>1324</v>
      </c>
      <c r="E1149" s="19" t="s">
        <v>12</v>
      </c>
      <c r="F1149" s="144">
        <f>G1149</f>
        <v>620.20000000000005</v>
      </c>
      <c r="G1149" s="20">
        <v>620.20000000000005</v>
      </c>
      <c r="H1149" s="141">
        <v>0</v>
      </c>
      <c r="I1149" s="141">
        <v>0</v>
      </c>
      <c r="J1149" s="141">
        <v>0</v>
      </c>
      <c r="K1149" s="35">
        <v>44562</v>
      </c>
    </row>
    <row r="1150" spans="1:11" s="51" customFormat="1" ht="52.8" customHeight="1" x14ac:dyDescent="0.25">
      <c r="A1150" s="116">
        <v>896</v>
      </c>
      <c r="B1150" s="226"/>
      <c r="C1150" s="144" t="s">
        <v>1325</v>
      </c>
      <c r="D1150" s="20" t="s">
        <v>1326</v>
      </c>
      <c r="E1150" s="19" t="s">
        <v>12</v>
      </c>
      <c r="F1150" s="144">
        <f>G1150</f>
        <v>1317.76018</v>
      </c>
      <c r="G1150" s="20">
        <f>1317760.18/1000</f>
        <v>1317.76018</v>
      </c>
      <c r="H1150" s="141">
        <v>0</v>
      </c>
      <c r="I1150" s="141">
        <v>0</v>
      </c>
      <c r="J1150" s="141">
        <v>0</v>
      </c>
      <c r="K1150" s="35">
        <v>44682</v>
      </c>
    </row>
    <row r="1151" spans="1:11" s="51" customFormat="1" ht="64.2" customHeight="1" x14ac:dyDescent="0.25">
      <c r="A1151" s="116">
        <v>897</v>
      </c>
      <c r="B1151" s="226"/>
      <c r="C1151" s="144" t="s">
        <v>1325</v>
      </c>
      <c r="D1151" s="20" t="s">
        <v>1327</v>
      </c>
      <c r="E1151" s="19" t="s">
        <v>12</v>
      </c>
      <c r="F1151" s="144">
        <f>G1151</f>
        <v>198.22764000000001</v>
      </c>
      <c r="G1151" s="20">
        <f>198227.64/1000</f>
        <v>198.22764000000001</v>
      </c>
      <c r="H1151" s="141">
        <v>0</v>
      </c>
      <c r="I1151" s="141">
        <v>0</v>
      </c>
      <c r="J1151" s="141">
        <v>0</v>
      </c>
      <c r="K1151" s="35">
        <v>44562</v>
      </c>
    </row>
    <row r="1152" spans="1:11" s="51" customFormat="1" ht="19.2" customHeight="1" x14ac:dyDescent="0.25">
      <c r="A1152" s="224" t="s">
        <v>1328</v>
      </c>
      <c r="B1152" s="225"/>
      <c r="C1152" s="225"/>
      <c r="D1152" s="225"/>
      <c r="E1152" s="225"/>
      <c r="F1152" s="53">
        <f>SUM(F1147:F1151)</f>
        <v>6713.4358099999999</v>
      </c>
      <c r="G1152" s="53">
        <f t="shared" ref="G1152:J1152" si="42">SUM(G1147:G1151)</f>
        <v>6713.4358099999999</v>
      </c>
      <c r="H1152" s="53">
        <f t="shared" si="42"/>
        <v>0</v>
      </c>
      <c r="I1152" s="53">
        <f t="shared" si="42"/>
        <v>0</v>
      </c>
      <c r="J1152" s="53">
        <f t="shared" si="42"/>
        <v>0</v>
      </c>
      <c r="K1152" s="117"/>
    </row>
    <row r="1153" spans="1:11" s="51" customFormat="1" ht="39.6" x14ac:dyDescent="0.25">
      <c r="A1153" s="116">
        <v>898</v>
      </c>
      <c r="B1153" s="227" t="s">
        <v>1320</v>
      </c>
      <c r="C1153" s="144" t="s">
        <v>1321</v>
      </c>
      <c r="D1153" s="19" t="s">
        <v>1308</v>
      </c>
      <c r="E1153" s="19" t="s">
        <v>12</v>
      </c>
      <c r="F1153" s="144">
        <f>1296596.07/1000</f>
        <v>1296.5960700000001</v>
      </c>
      <c r="G1153" s="143">
        <v>0</v>
      </c>
      <c r="H1153" s="144">
        <f>F1153</f>
        <v>1296.5960700000001</v>
      </c>
      <c r="I1153" s="143">
        <v>0</v>
      </c>
      <c r="J1153" s="143">
        <v>0</v>
      </c>
      <c r="K1153" s="35">
        <v>44866</v>
      </c>
    </row>
    <row r="1154" spans="1:11" s="51" customFormat="1" ht="39.6" x14ac:dyDescent="0.25">
      <c r="A1154" s="116">
        <v>899</v>
      </c>
      <c r="B1154" s="228"/>
      <c r="C1154" s="144" t="s">
        <v>1322</v>
      </c>
      <c r="D1154" s="19" t="s">
        <v>49</v>
      </c>
      <c r="E1154" s="19" t="s">
        <v>12</v>
      </c>
      <c r="F1154" s="144">
        <f>1779731.8/1000</f>
        <v>1779.7318</v>
      </c>
      <c r="G1154" s="143">
        <v>0</v>
      </c>
      <c r="H1154" s="144">
        <f>F1154</f>
        <v>1779.7318</v>
      </c>
      <c r="I1154" s="143">
        <v>0</v>
      </c>
      <c r="J1154" s="143">
        <v>0</v>
      </c>
      <c r="K1154" s="35">
        <v>44866</v>
      </c>
    </row>
    <row r="1155" spans="1:11" s="51" customFormat="1" ht="25.5" customHeight="1" x14ac:dyDescent="0.25">
      <c r="A1155" s="116">
        <v>900</v>
      </c>
      <c r="B1155" s="228"/>
      <c r="C1155" s="144" t="s">
        <v>1323</v>
      </c>
      <c r="D1155" s="20" t="s">
        <v>1324</v>
      </c>
      <c r="E1155" s="19" t="s">
        <v>12</v>
      </c>
      <c r="F1155" s="144">
        <f>620202.09/1000</f>
        <v>620.20209</v>
      </c>
      <c r="G1155" s="143">
        <v>0</v>
      </c>
      <c r="H1155" s="144">
        <f>F1155</f>
        <v>620.20209</v>
      </c>
      <c r="I1155" s="143">
        <v>0</v>
      </c>
      <c r="J1155" s="143">
        <v>0</v>
      </c>
      <c r="K1155" s="35">
        <v>44866</v>
      </c>
    </row>
    <row r="1156" spans="1:11" s="51" customFormat="1" ht="66" x14ac:dyDescent="0.25">
      <c r="A1156" s="116">
        <v>901</v>
      </c>
      <c r="B1156" s="228"/>
      <c r="C1156" s="144" t="s">
        <v>1325</v>
      </c>
      <c r="D1156" s="191" t="s">
        <v>1329</v>
      </c>
      <c r="E1156" s="19" t="s">
        <v>12</v>
      </c>
      <c r="F1156" s="144">
        <f>217873.37/1000</f>
        <v>217.87336999999999</v>
      </c>
      <c r="G1156" s="143">
        <v>0</v>
      </c>
      <c r="H1156" s="144">
        <f>F1156</f>
        <v>217.87336999999999</v>
      </c>
      <c r="I1156" s="143">
        <v>0</v>
      </c>
      <c r="J1156" s="143">
        <v>0</v>
      </c>
      <c r="K1156" s="35">
        <v>44866</v>
      </c>
    </row>
    <row r="1157" spans="1:11" s="51" customFormat="1" ht="30" customHeight="1" x14ac:dyDescent="0.25">
      <c r="A1157" s="224" t="s">
        <v>1330</v>
      </c>
      <c r="B1157" s="225"/>
      <c r="C1157" s="225"/>
      <c r="D1157" s="225"/>
      <c r="E1157" s="225"/>
      <c r="F1157" s="53">
        <f>SUM(F1153:F1156)</f>
        <v>3914.4033299999996</v>
      </c>
      <c r="G1157" s="53">
        <f t="shared" ref="G1157:J1157" si="43">SUM(G1153:G1156)</f>
        <v>0</v>
      </c>
      <c r="H1157" s="53">
        <f t="shared" si="43"/>
        <v>3914.4033299999996</v>
      </c>
      <c r="I1157" s="53">
        <f t="shared" si="43"/>
        <v>0</v>
      </c>
      <c r="J1157" s="53">
        <f t="shared" si="43"/>
        <v>0</v>
      </c>
      <c r="K1157" s="117"/>
    </row>
    <row r="1158" spans="1:11" s="51" customFormat="1" ht="39.6" x14ac:dyDescent="0.25">
      <c r="A1158" s="116">
        <f>A1156+1</f>
        <v>902</v>
      </c>
      <c r="B1158" s="227" t="s">
        <v>1320</v>
      </c>
      <c r="C1158" s="144" t="s">
        <v>1321</v>
      </c>
      <c r="D1158" s="19" t="s">
        <v>1308</v>
      </c>
      <c r="E1158" s="19" t="s">
        <v>12</v>
      </c>
      <c r="F1158" s="144">
        <f>1296596.07/1000</f>
        <v>1296.5960700000001</v>
      </c>
      <c r="G1158" s="53">
        <f t="shared" ref="G1158" si="44">SUM(G1154:G1157)</f>
        <v>0</v>
      </c>
      <c r="H1158" s="140">
        <v>0</v>
      </c>
      <c r="I1158" s="144">
        <f>1296596.07/1000</f>
        <v>1296.5960700000001</v>
      </c>
      <c r="J1158" s="53">
        <f t="shared" ref="J1158" si="45">SUM(J1154:J1157)</f>
        <v>0</v>
      </c>
      <c r="K1158" s="35">
        <v>45231</v>
      </c>
    </row>
    <row r="1159" spans="1:11" s="51" customFormat="1" ht="35.25" customHeight="1" x14ac:dyDescent="0.25">
      <c r="A1159" s="116">
        <v>903</v>
      </c>
      <c r="B1159" s="227"/>
      <c r="C1159" s="144" t="s">
        <v>1322</v>
      </c>
      <c r="D1159" s="19" t="s">
        <v>49</v>
      </c>
      <c r="E1159" s="19" t="s">
        <v>12</v>
      </c>
      <c r="F1159" s="144">
        <f>1513567.5/1000</f>
        <v>1513.5675000000001</v>
      </c>
      <c r="G1159" s="53">
        <f t="shared" ref="G1159" si="46">SUM(G1155:G1158)</f>
        <v>0</v>
      </c>
      <c r="H1159" s="140">
        <v>0</v>
      </c>
      <c r="I1159" s="144">
        <f>1513567.5/1000</f>
        <v>1513.5675000000001</v>
      </c>
      <c r="J1159" s="53">
        <f t="shared" ref="J1159" si="47">SUM(J1155:J1158)</f>
        <v>0</v>
      </c>
      <c r="K1159" s="35">
        <v>45231</v>
      </c>
    </row>
    <row r="1160" spans="1:11" s="51" customFormat="1" ht="48.6" customHeight="1" x14ac:dyDescent="0.25">
      <c r="A1160" s="116">
        <v>904</v>
      </c>
      <c r="B1160" s="227"/>
      <c r="C1160" s="144" t="s">
        <v>1323</v>
      </c>
      <c r="D1160" s="20" t="s">
        <v>1324</v>
      </c>
      <c r="E1160" s="19" t="s">
        <v>12</v>
      </c>
      <c r="F1160" s="144">
        <v>620.20000000000005</v>
      </c>
      <c r="G1160" s="53">
        <f t="shared" ref="G1160" si="48">SUM(G1156:G1159)</f>
        <v>0</v>
      </c>
      <c r="H1160" s="140">
        <v>0</v>
      </c>
      <c r="I1160" s="144">
        <v>620.20000000000005</v>
      </c>
      <c r="J1160" s="53">
        <f t="shared" ref="J1160" si="49">SUM(J1156:J1159)</f>
        <v>0</v>
      </c>
      <c r="K1160" s="35">
        <v>45231</v>
      </c>
    </row>
    <row r="1161" spans="1:11" s="51" customFormat="1" ht="66" x14ac:dyDescent="0.25">
      <c r="A1161" s="116">
        <v>905</v>
      </c>
      <c r="B1161" s="227"/>
      <c r="C1161" s="144" t="s">
        <v>1325</v>
      </c>
      <c r="D1161" s="191" t="s">
        <v>1329</v>
      </c>
      <c r="E1161" s="19" t="s">
        <v>12</v>
      </c>
      <c r="F1161" s="144">
        <f>217873.37/1000</f>
        <v>217.87336999999999</v>
      </c>
      <c r="G1161" s="53">
        <f t="shared" ref="G1161" si="50">SUM(G1157:G1160)</f>
        <v>0</v>
      </c>
      <c r="H1161" s="140">
        <v>0</v>
      </c>
      <c r="I1161" s="144">
        <f>217873.37/1000</f>
        <v>217.87336999999999</v>
      </c>
      <c r="J1161" s="53">
        <f t="shared" ref="J1161" si="51">SUM(J1157:J1160)</f>
        <v>0</v>
      </c>
      <c r="K1161" s="35">
        <v>45231</v>
      </c>
    </row>
    <row r="1162" spans="1:11" s="51" customFormat="1" ht="30.6" customHeight="1" x14ac:dyDescent="0.25">
      <c r="A1162" s="224" t="s">
        <v>1331</v>
      </c>
      <c r="B1162" s="225"/>
      <c r="C1162" s="225"/>
      <c r="D1162" s="225"/>
      <c r="E1162" s="225"/>
      <c r="F1162" s="53">
        <f>SUM(F1158:F1161)</f>
        <v>3648.2369400000002</v>
      </c>
      <c r="G1162" s="53">
        <f t="shared" ref="G1162:J1162" si="52">SUM(G1158:G1161)</f>
        <v>0</v>
      </c>
      <c r="H1162" s="53">
        <f t="shared" si="52"/>
        <v>0</v>
      </c>
      <c r="I1162" s="53">
        <f t="shared" si="52"/>
        <v>3648.2369400000002</v>
      </c>
      <c r="J1162" s="53">
        <f t="shared" si="52"/>
        <v>0</v>
      </c>
      <c r="K1162" s="117"/>
    </row>
    <row r="1163" spans="1:11" s="51" customFormat="1" ht="44.4" customHeight="1" x14ac:dyDescent="0.25">
      <c r="A1163" s="116">
        <v>906</v>
      </c>
      <c r="B1163" s="226" t="s">
        <v>1332</v>
      </c>
      <c r="C1163" s="144" t="s">
        <v>1333</v>
      </c>
      <c r="D1163" s="19" t="s">
        <v>1334</v>
      </c>
      <c r="E1163" s="19" t="s">
        <v>12</v>
      </c>
      <c r="F1163" s="20">
        <v>700</v>
      </c>
      <c r="G1163" s="20">
        <v>700</v>
      </c>
      <c r="H1163" s="20">
        <v>0</v>
      </c>
      <c r="I1163" s="20">
        <v>0</v>
      </c>
      <c r="J1163" s="144">
        <v>0</v>
      </c>
      <c r="K1163" s="77">
        <v>44652</v>
      </c>
    </row>
    <row r="1164" spans="1:11" s="51" customFormat="1" ht="56.4" customHeight="1" x14ac:dyDescent="0.25">
      <c r="A1164" s="116">
        <v>907</v>
      </c>
      <c r="B1164" s="226"/>
      <c r="C1164" s="144" t="s">
        <v>1335</v>
      </c>
      <c r="D1164" s="19" t="s">
        <v>1334</v>
      </c>
      <c r="E1164" s="19" t="s">
        <v>12</v>
      </c>
      <c r="F1164" s="20">
        <v>602</v>
      </c>
      <c r="G1164" s="20">
        <v>602</v>
      </c>
      <c r="H1164" s="20">
        <v>0</v>
      </c>
      <c r="I1164" s="20">
        <v>0</v>
      </c>
      <c r="J1164" s="144">
        <v>0</v>
      </c>
      <c r="K1164" s="77">
        <v>44652</v>
      </c>
    </row>
    <row r="1165" spans="1:11" s="51" customFormat="1" ht="57" customHeight="1" x14ac:dyDescent="0.25">
      <c r="A1165" s="116">
        <v>908</v>
      </c>
      <c r="B1165" s="226"/>
      <c r="C1165" s="144" t="s">
        <v>1336</v>
      </c>
      <c r="D1165" s="19" t="s">
        <v>1334</v>
      </c>
      <c r="E1165" s="19" t="s">
        <v>12</v>
      </c>
      <c r="F1165" s="20">
        <v>601</v>
      </c>
      <c r="G1165" s="20">
        <v>601</v>
      </c>
      <c r="H1165" s="20">
        <v>0</v>
      </c>
      <c r="I1165" s="20">
        <v>0</v>
      </c>
      <c r="J1165" s="144">
        <v>0</v>
      </c>
      <c r="K1165" s="77">
        <v>44682</v>
      </c>
    </row>
    <row r="1166" spans="1:11" s="51" customFormat="1" ht="51.6" customHeight="1" x14ac:dyDescent="0.25">
      <c r="A1166" s="116">
        <v>909</v>
      </c>
      <c r="B1166" s="226"/>
      <c r="C1166" s="144" t="s">
        <v>1337</v>
      </c>
      <c r="D1166" s="19" t="s">
        <v>1334</v>
      </c>
      <c r="E1166" s="19" t="s">
        <v>12</v>
      </c>
      <c r="F1166" s="20">
        <v>600</v>
      </c>
      <c r="G1166" s="20">
        <v>600</v>
      </c>
      <c r="H1166" s="20">
        <v>0</v>
      </c>
      <c r="I1166" s="20">
        <v>0</v>
      </c>
      <c r="J1166" s="144">
        <v>0</v>
      </c>
      <c r="K1166" s="77">
        <v>44682</v>
      </c>
    </row>
    <row r="1167" spans="1:11" s="51" customFormat="1" ht="49.2" customHeight="1" x14ac:dyDescent="0.25">
      <c r="A1167" s="116">
        <v>910</v>
      </c>
      <c r="B1167" s="226"/>
      <c r="C1167" s="144" t="s">
        <v>1338</v>
      </c>
      <c r="D1167" s="19" t="s">
        <v>1334</v>
      </c>
      <c r="E1167" s="19" t="s">
        <v>12</v>
      </c>
      <c r="F1167" s="20">
        <v>502</v>
      </c>
      <c r="G1167" s="20">
        <v>502</v>
      </c>
      <c r="H1167" s="20">
        <v>0</v>
      </c>
      <c r="I1167" s="20">
        <v>0</v>
      </c>
      <c r="J1167" s="144">
        <v>0</v>
      </c>
      <c r="K1167" s="77">
        <v>44682</v>
      </c>
    </row>
    <row r="1168" spans="1:11" s="51" customFormat="1" ht="55.8" customHeight="1" x14ac:dyDescent="0.25">
      <c r="A1168" s="116">
        <v>911</v>
      </c>
      <c r="B1168" s="226"/>
      <c r="C1168" s="144" t="s">
        <v>1339</v>
      </c>
      <c r="D1168" s="19" t="s">
        <v>1334</v>
      </c>
      <c r="E1168" s="19" t="s">
        <v>12</v>
      </c>
      <c r="F1168" s="20">
        <v>501</v>
      </c>
      <c r="G1168" s="20">
        <v>501</v>
      </c>
      <c r="H1168" s="20">
        <v>0</v>
      </c>
      <c r="I1168" s="20">
        <v>0</v>
      </c>
      <c r="J1168" s="144">
        <v>0</v>
      </c>
      <c r="K1168" s="77">
        <v>44713</v>
      </c>
    </row>
    <row r="1169" spans="1:11" s="51" customFormat="1" ht="64.8" customHeight="1" x14ac:dyDescent="0.25">
      <c r="A1169" s="116">
        <v>912</v>
      </c>
      <c r="B1169" s="226"/>
      <c r="C1169" s="144" t="s">
        <v>1340</v>
      </c>
      <c r="D1169" s="19" t="s">
        <v>1334</v>
      </c>
      <c r="E1169" s="19" t="s">
        <v>12</v>
      </c>
      <c r="F1169" s="20">
        <v>498</v>
      </c>
      <c r="G1169" s="20">
        <v>498</v>
      </c>
      <c r="H1169" s="20">
        <v>0</v>
      </c>
      <c r="I1169" s="20">
        <v>0</v>
      </c>
      <c r="J1169" s="144">
        <v>0</v>
      </c>
      <c r="K1169" s="77">
        <v>44713</v>
      </c>
    </row>
    <row r="1170" spans="1:11" s="51" customFormat="1" ht="39.6" x14ac:dyDescent="0.25">
      <c r="A1170" s="116">
        <v>913</v>
      </c>
      <c r="B1170" s="226"/>
      <c r="C1170" s="144" t="s">
        <v>1341</v>
      </c>
      <c r="D1170" s="19" t="s">
        <v>49</v>
      </c>
      <c r="E1170" s="19" t="s">
        <v>12</v>
      </c>
      <c r="F1170" s="20">
        <v>7629.6851200000001</v>
      </c>
      <c r="G1170" s="20">
        <v>6954.36672</v>
      </c>
      <c r="H1170" s="20">
        <v>675.3184</v>
      </c>
      <c r="I1170" s="20">
        <v>0</v>
      </c>
      <c r="J1170" s="144">
        <v>0</v>
      </c>
      <c r="K1170" s="35">
        <v>44562</v>
      </c>
    </row>
    <row r="1171" spans="1:11" s="51" customFormat="1" ht="39.6" x14ac:dyDescent="0.25">
      <c r="A1171" s="116">
        <v>914</v>
      </c>
      <c r="B1171" s="226"/>
      <c r="C1171" s="144" t="s">
        <v>1342</v>
      </c>
      <c r="D1171" s="19" t="s">
        <v>1343</v>
      </c>
      <c r="E1171" s="19" t="s">
        <v>12</v>
      </c>
      <c r="F1171" s="20">
        <v>2583.5802399999998</v>
      </c>
      <c r="G1171" s="20">
        <v>2354.1792099999998</v>
      </c>
      <c r="H1171" s="20">
        <v>229.40102999999999</v>
      </c>
      <c r="I1171" s="20">
        <v>0</v>
      </c>
      <c r="J1171" s="144">
        <v>0</v>
      </c>
      <c r="K1171" s="35">
        <v>44562</v>
      </c>
    </row>
    <row r="1172" spans="1:11" s="51" customFormat="1" ht="39.6" x14ac:dyDescent="0.25">
      <c r="A1172" s="116">
        <v>915</v>
      </c>
      <c r="B1172" s="226"/>
      <c r="C1172" s="144" t="s">
        <v>1344</v>
      </c>
      <c r="D1172" s="19" t="s">
        <v>1345</v>
      </c>
      <c r="E1172" s="19" t="s">
        <v>12</v>
      </c>
      <c r="F1172" s="20">
        <v>913.98140000000001</v>
      </c>
      <c r="G1172" s="20">
        <v>838.29197999999997</v>
      </c>
      <c r="H1172" s="144">
        <v>75.689419999999998</v>
      </c>
      <c r="I1172" s="20">
        <v>0</v>
      </c>
      <c r="J1172" s="144">
        <v>0</v>
      </c>
      <c r="K1172" s="35">
        <v>44562</v>
      </c>
    </row>
    <row r="1173" spans="1:11" s="51" customFormat="1" ht="16.95" customHeight="1" x14ac:dyDescent="0.25">
      <c r="A1173" s="224" t="s">
        <v>1346</v>
      </c>
      <c r="B1173" s="224"/>
      <c r="C1173" s="224"/>
      <c r="D1173" s="224"/>
      <c r="E1173" s="118"/>
      <c r="F1173" s="141"/>
      <c r="G1173" s="141"/>
      <c r="H1173" s="141"/>
      <c r="I1173" s="141"/>
      <c r="J1173" s="141"/>
      <c r="K1173" s="119"/>
    </row>
    <row r="1174" spans="1:11" s="51" customFormat="1" ht="39.6" x14ac:dyDescent="0.25">
      <c r="A1174" s="116">
        <v>916</v>
      </c>
      <c r="B1174" s="226" t="s">
        <v>1332</v>
      </c>
      <c r="C1174" s="144" t="s">
        <v>1347</v>
      </c>
      <c r="D1174" s="19" t="s">
        <v>1343</v>
      </c>
      <c r="E1174" s="19" t="s">
        <v>12</v>
      </c>
      <c r="F1174" s="20">
        <v>0</v>
      </c>
      <c r="G1174" s="20">
        <v>0</v>
      </c>
      <c r="H1174" s="20">
        <v>2354.1792099999998</v>
      </c>
      <c r="I1174" s="20">
        <v>229.40102999999999</v>
      </c>
      <c r="J1174" s="144">
        <v>0</v>
      </c>
      <c r="K1174" s="77">
        <v>44896</v>
      </c>
    </row>
    <row r="1175" spans="1:11" s="51" customFormat="1" ht="39.6" x14ac:dyDescent="0.25">
      <c r="A1175" s="116">
        <v>917</v>
      </c>
      <c r="B1175" s="226"/>
      <c r="C1175" s="144" t="s">
        <v>1348</v>
      </c>
      <c r="D1175" s="19" t="s">
        <v>1345</v>
      </c>
      <c r="E1175" s="19" t="s">
        <v>12</v>
      </c>
      <c r="F1175" s="20">
        <v>0</v>
      </c>
      <c r="G1175" s="20">
        <v>0</v>
      </c>
      <c r="H1175" s="20">
        <v>838.29197999999997</v>
      </c>
      <c r="I1175" s="20">
        <v>75.689419999999998</v>
      </c>
      <c r="J1175" s="144">
        <v>0</v>
      </c>
      <c r="K1175" s="77">
        <v>44896</v>
      </c>
    </row>
    <row r="1176" spans="1:11" s="51" customFormat="1" ht="29.4" customHeight="1" x14ac:dyDescent="0.25">
      <c r="A1176" s="224" t="s">
        <v>1349</v>
      </c>
      <c r="B1176" s="224"/>
      <c r="C1176" s="224"/>
      <c r="D1176" s="224"/>
      <c r="E1176" s="224"/>
      <c r="F1176" s="141"/>
      <c r="G1176" s="141"/>
      <c r="H1176" s="141"/>
      <c r="I1176" s="141"/>
      <c r="J1176" s="141"/>
      <c r="K1176" s="119"/>
    </row>
    <row r="1177" spans="1:11" s="51" customFormat="1" ht="118.8" x14ac:dyDescent="0.25">
      <c r="A1177" s="116">
        <v>918</v>
      </c>
      <c r="B1177" s="230" t="s">
        <v>1350</v>
      </c>
      <c r="C1177" s="141" t="s">
        <v>1351</v>
      </c>
      <c r="D1177" s="191" t="s">
        <v>1352</v>
      </c>
      <c r="E1177" s="143" t="s">
        <v>21</v>
      </c>
      <c r="F1177" s="54">
        <v>10434.1</v>
      </c>
      <c r="G1177" s="54">
        <v>914.1</v>
      </c>
      <c r="H1177" s="54">
        <v>8786.66</v>
      </c>
      <c r="I1177" s="54">
        <v>733.33</v>
      </c>
      <c r="J1177" s="54" t="s">
        <v>1353</v>
      </c>
      <c r="K1177" s="55">
        <v>44805</v>
      </c>
    </row>
    <row r="1178" spans="1:11" s="51" customFormat="1" ht="54" customHeight="1" x14ac:dyDescent="0.25">
      <c r="A1178" s="116">
        <v>919</v>
      </c>
      <c r="B1178" s="239"/>
      <c r="C1178" s="141" t="s">
        <v>1354</v>
      </c>
      <c r="D1178" s="191" t="s">
        <v>1355</v>
      </c>
      <c r="E1178" s="143" t="s">
        <v>21</v>
      </c>
      <c r="F1178" s="54">
        <v>715.86</v>
      </c>
      <c r="G1178" s="54" t="s">
        <v>28</v>
      </c>
      <c r="H1178" s="54">
        <v>652.72</v>
      </c>
      <c r="I1178" s="54">
        <v>63.14</v>
      </c>
      <c r="J1178" s="54" t="s">
        <v>1353</v>
      </c>
      <c r="K1178" s="55">
        <v>44866</v>
      </c>
    </row>
    <row r="1179" spans="1:11" s="51" customFormat="1" ht="39.6" x14ac:dyDescent="0.25">
      <c r="A1179" s="116">
        <v>920</v>
      </c>
      <c r="B1179" s="239"/>
      <c r="C1179" s="141" t="s">
        <v>1356</v>
      </c>
      <c r="D1179" s="191" t="s">
        <v>1357</v>
      </c>
      <c r="E1179" s="143" t="s">
        <v>21</v>
      </c>
      <c r="F1179" s="54">
        <v>528</v>
      </c>
      <c r="G1179" s="54" t="s">
        <v>28</v>
      </c>
      <c r="H1179" s="54">
        <v>484</v>
      </c>
      <c r="I1179" s="54">
        <v>44</v>
      </c>
      <c r="J1179" s="54" t="s">
        <v>1353</v>
      </c>
      <c r="K1179" s="55">
        <v>44866</v>
      </c>
    </row>
    <row r="1180" spans="1:11" s="51" customFormat="1" ht="39.6" x14ac:dyDescent="0.25">
      <c r="A1180" s="116">
        <v>921</v>
      </c>
      <c r="B1180" s="239"/>
      <c r="C1180" s="141" t="s">
        <v>1358</v>
      </c>
      <c r="D1180" s="191" t="s">
        <v>1359</v>
      </c>
      <c r="E1180" s="143" t="s">
        <v>21</v>
      </c>
      <c r="F1180" s="54">
        <v>88.8</v>
      </c>
      <c r="G1180" s="54" t="s">
        <v>28</v>
      </c>
      <c r="H1180" s="54">
        <v>88.8</v>
      </c>
      <c r="I1180" s="54" t="s">
        <v>28</v>
      </c>
      <c r="J1180" s="54" t="s">
        <v>1353</v>
      </c>
      <c r="K1180" s="55">
        <v>44866</v>
      </c>
    </row>
    <row r="1181" spans="1:11" s="51" customFormat="1" ht="78" customHeight="1" x14ac:dyDescent="0.25">
      <c r="A1181" s="116">
        <v>922</v>
      </c>
      <c r="B1181" s="239"/>
      <c r="C1181" s="141" t="s">
        <v>1360</v>
      </c>
      <c r="D1181" s="191" t="s">
        <v>1361</v>
      </c>
      <c r="E1181" s="143" t="s">
        <v>21</v>
      </c>
      <c r="F1181" s="54">
        <v>1244.1600000000001</v>
      </c>
      <c r="G1181" s="54">
        <v>345.6</v>
      </c>
      <c r="H1181" s="54">
        <v>829.44</v>
      </c>
      <c r="I1181" s="54">
        <v>69.12</v>
      </c>
      <c r="J1181" s="54" t="s">
        <v>1353</v>
      </c>
      <c r="K1181" s="55" t="s">
        <v>1362</v>
      </c>
    </row>
    <row r="1182" spans="1:11" s="51" customFormat="1" ht="85.8" customHeight="1" x14ac:dyDescent="0.25">
      <c r="A1182" s="116">
        <v>923</v>
      </c>
      <c r="B1182" s="239"/>
      <c r="C1182" s="141" t="s">
        <v>1363</v>
      </c>
      <c r="D1182" s="191" t="s">
        <v>1364</v>
      </c>
      <c r="E1182" s="143" t="s">
        <v>21</v>
      </c>
      <c r="F1182" s="54">
        <v>297.45</v>
      </c>
      <c r="G1182" s="54" t="s">
        <v>28</v>
      </c>
      <c r="H1182" s="54">
        <v>297.45</v>
      </c>
      <c r="I1182" s="54" t="s">
        <v>28</v>
      </c>
      <c r="J1182" s="54" t="s">
        <v>1353</v>
      </c>
      <c r="K1182" s="55">
        <v>44866</v>
      </c>
    </row>
    <row r="1183" spans="1:11" s="51" customFormat="1" ht="57.6" customHeight="1" x14ac:dyDescent="0.25">
      <c r="A1183" s="116">
        <v>924</v>
      </c>
      <c r="B1183" s="239"/>
      <c r="C1183" s="141" t="s">
        <v>1365</v>
      </c>
      <c r="D1183" s="191" t="s">
        <v>1366</v>
      </c>
      <c r="E1183" s="143" t="s">
        <v>21</v>
      </c>
      <c r="F1183" s="54">
        <v>136.25</v>
      </c>
      <c r="G1183" s="54">
        <v>136.25</v>
      </c>
      <c r="H1183" s="54" t="s">
        <v>28</v>
      </c>
      <c r="I1183" s="54" t="s">
        <v>28</v>
      </c>
      <c r="J1183" s="54" t="s">
        <v>1353</v>
      </c>
      <c r="K1183" s="55">
        <v>44713</v>
      </c>
    </row>
    <row r="1184" spans="1:11" s="51" customFormat="1" ht="58.2" customHeight="1" x14ac:dyDescent="0.25">
      <c r="A1184" s="116">
        <v>925</v>
      </c>
      <c r="B1184" s="239"/>
      <c r="C1184" s="141" t="s">
        <v>1367</v>
      </c>
      <c r="D1184" s="191" t="s">
        <v>1368</v>
      </c>
      <c r="E1184" s="143" t="s">
        <v>21</v>
      </c>
      <c r="F1184" s="54">
        <v>669.34</v>
      </c>
      <c r="G1184" s="54">
        <v>172.54</v>
      </c>
      <c r="H1184" s="54">
        <v>496.8</v>
      </c>
      <c r="I1184" s="54" t="s">
        <v>28</v>
      </c>
      <c r="J1184" s="54" t="s">
        <v>1353</v>
      </c>
      <c r="K1184" s="55">
        <v>44805</v>
      </c>
    </row>
    <row r="1185" spans="1:11" s="51" customFormat="1" ht="51.6" customHeight="1" x14ac:dyDescent="0.25">
      <c r="A1185" s="116">
        <v>926</v>
      </c>
      <c r="B1185" s="239"/>
      <c r="C1185" s="141" t="s">
        <v>1369</v>
      </c>
      <c r="D1185" s="191" t="s">
        <v>1370</v>
      </c>
      <c r="E1185" s="143" t="s">
        <v>21</v>
      </c>
      <c r="F1185" s="54">
        <v>760.73</v>
      </c>
      <c r="G1185" s="54" t="s">
        <v>28</v>
      </c>
      <c r="H1185" s="54">
        <v>760.73</v>
      </c>
      <c r="I1185" s="54" t="s">
        <v>28</v>
      </c>
      <c r="J1185" s="54" t="s">
        <v>1353</v>
      </c>
      <c r="K1185" s="55">
        <v>44866</v>
      </c>
    </row>
    <row r="1186" spans="1:11" s="51" customFormat="1" ht="60.6" customHeight="1" x14ac:dyDescent="0.25">
      <c r="A1186" s="116">
        <v>927</v>
      </c>
      <c r="B1186" s="239"/>
      <c r="C1186" s="141" t="s">
        <v>1371</v>
      </c>
      <c r="D1186" s="191" t="s">
        <v>1372</v>
      </c>
      <c r="E1186" s="143" t="s">
        <v>21</v>
      </c>
      <c r="F1186" s="54">
        <v>492.51</v>
      </c>
      <c r="G1186" s="54" t="s">
        <v>28</v>
      </c>
      <c r="H1186" s="54">
        <v>450.66</v>
      </c>
      <c r="I1186" s="54">
        <v>41.85</v>
      </c>
      <c r="J1186" s="54" t="s">
        <v>1353</v>
      </c>
      <c r="K1186" s="55">
        <v>44866</v>
      </c>
    </row>
    <row r="1187" spans="1:11" s="51" customFormat="1" ht="39.6" x14ac:dyDescent="0.25">
      <c r="A1187" s="116">
        <v>928</v>
      </c>
      <c r="B1187" s="239"/>
      <c r="C1187" s="144" t="s">
        <v>1373</v>
      </c>
      <c r="D1187" s="191" t="s">
        <v>49</v>
      </c>
      <c r="E1187" s="143" t="s">
        <v>21</v>
      </c>
      <c r="F1187" s="54">
        <v>788.4</v>
      </c>
      <c r="G1187" s="54" t="s">
        <v>28</v>
      </c>
      <c r="H1187" s="54">
        <v>721.44</v>
      </c>
      <c r="I1187" s="54">
        <v>66.959999999999994</v>
      </c>
      <c r="J1187" s="54" t="s">
        <v>1353</v>
      </c>
      <c r="K1187" s="55">
        <v>44866</v>
      </c>
    </row>
    <row r="1188" spans="1:11" s="51" customFormat="1" ht="39.6" x14ac:dyDescent="0.25">
      <c r="A1188" s="116">
        <v>929</v>
      </c>
      <c r="B1188" s="239"/>
      <c r="C1188" s="144" t="s">
        <v>1374</v>
      </c>
      <c r="D1188" s="191" t="s">
        <v>1375</v>
      </c>
      <c r="E1188" s="143" t="s">
        <v>21</v>
      </c>
      <c r="F1188" s="54">
        <v>6697</v>
      </c>
      <c r="G1188" s="54" t="s">
        <v>28</v>
      </c>
      <c r="H1188" s="54">
        <v>6140.5</v>
      </c>
      <c r="I1188" s="54">
        <v>556.5</v>
      </c>
      <c r="J1188" s="54" t="s">
        <v>1353</v>
      </c>
      <c r="K1188" s="55">
        <v>44866</v>
      </c>
    </row>
    <row r="1189" spans="1:11" s="51" customFormat="1" ht="60" customHeight="1" x14ac:dyDescent="0.25">
      <c r="A1189" s="116">
        <v>930</v>
      </c>
      <c r="B1189" s="239"/>
      <c r="C1189" s="144" t="s">
        <v>1376</v>
      </c>
      <c r="D1189" s="191" t="s">
        <v>1377</v>
      </c>
      <c r="E1189" s="143" t="s">
        <v>21</v>
      </c>
      <c r="F1189" s="54">
        <v>7993.44</v>
      </c>
      <c r="G1189" s="54">
        <v>3703.44</v>
      </c>
      <c r="H1189" s="54">
        <v>4290</v>
      </c>
      <c r="I1189" s="54" t="s">
        <v>28</v>
      </c>
      <c r="J1189" s="54" t="s">
        <v>1353</v>
      </c>
      <c r="K1189" s="55" t="s">
        <v>1378</v>
      </c>
    </row>
    <row r="1190" spans="1:11" s="51" customFormat="1" ht="115.8" customHeight="1" x14ac:dyDescent="0.25">
      <c r="A1190" s="116">
        <v>931</v>
      </c>
      <c r="B1190" s="239"/>
      <c r="C1190" s="144" t="s">
        <v>1379</v>
      </c>
      <c r="D1190" s="191" t="s">
        <v>1380</v>
      </c>
      <c r="E1190" s="143" t="s">
        <v>21</v>
      </c>
      <c r="F1190" s="54">
        <v>2932.16</v>
      </c>
      <c r="G1190" s="54" t="s">
        <v>28</v>
      </c>
      <c r="H1190" s="54">
        <v>2854.8</v>
      </c>
      <c r="I1190" s="54">
        <v>77.37</v>
      </c>
      <c r="J1190" s="54" t="s">
        <v>1353</v>
      </c>
      <c r="K1190" s="55">
        <v>44866</v>
      </c>
    </row>
    <row r="1191" spans="1:11" s="51" customFormat="1" ht="60.6" customHeight="1" x14ac:dyDescent="0.25">
      <c r="A1191" s="116">
        <v>932</v>
      </c>
      <c r="B1191" s="239"/>
      <c r="C1191" s="144" t="s">
        <v>1381</v>
      </c>
      <c r="D1191" s="191" t="s">
        <v>98</v>
      </c>
      <c r="E1191" s="143" t="s">
        <v>21</v>
      </c>
      <c r="F1191" s="54">
        <v>35.54</v>
      </c>
      <c r="G1191" s="54">
        <v>35.54</v>
      </c>
      <c r="H1191" s="54" t="s">
        <v>28</v>
      </c>
      <c r="I1191" s="54" t="s">
        <v>28</v>
      </c>
      <c r="J1191" s="54" t="s">
        <v>1353</v>
      </c>
      <c r="K1191" s="55">
        <v>44621</v>
      </c>
    </row>
    <row r="1192" spans="1:11" s="51" customFormat="1" ht="39.6" x14ac:dyDescent="0.25">
      <c r="A1192" s="116">
        <v>933</v>
      </c>
      <c r="B1192" s="239"/>
      <c r="C1192" s="144" t="s">
        <v>1382</v>
      </c>
      <c r="D1192" s="191" t="s">
        <v>1383</v>
      </c>
      <c r="E1192" s="143" t="s">
        <v>21</v>
      </c>
      <c r="F1192" s="54">
        <v>155.72999999999999</v>
      </c>
      <c r="G1192" s="54">
        <v>155.72999999999999</v>
      </c>
      <c r="H1192" s="54" t="s">
        <v>28</v>
      </c>
      <c r="I1192" s="54" t="s">
        <v>28</v>
      </c>
      <c r="J1192" s="54" t="s">
        <v>1353</v>
      </c>
      <c r="K1192" s="55">
        <v>44652</v>
      </c>
    </row>
    <row r="1193" spans="1:11" s="51" customFormat="1" ht="66" x14ac:dyDescent="0.25">
      <c r="A1193" s="116">
        <v>934</v>
      </c>
      <c r="B1193" s="239"/>
      <c r="C1193" s="144" t="s">
        <v>1384</v>
      </c>
      <c r="D1193" s="191" t="s">
        <v>49</v>
      </c>
      <c r="E1193" s="143" t="s">
        <v>21</v>
      </c>
      <c r="F1193" s="54">
        <v>3547.85</v>
      </c>
      <c r="G1193" s="54" t="s">
        <v>28</v>
      </c>
      <c r="H1193" s="54">
        <v>3339.53</v>
      </c>
      <c r="I1193" s="54">
        <v>208.32</v>
      </c>
      <c r="J1193" s="54" t="s">
        <v>1353</v>
      </c>
      <c r="K1193" s="55">
        <v>44866</v>
      </c>
    </row>
    <row r="1194" spans="1:11" s="51" customFormat="1" ht="136.80000000000001" customHeight="1" x14ac:dyDescent="0.25">
      <c r="A1194" s="116">
        <v>935</v>
      </c>
      <c r="B1194" s="239"/>
      <c r="C1194" s="144" t="s">
        <v>1385</v>
      </c>
      <c r="D1194" s="191" t="s">
        <v>1386</v>
      </c>
      <c r="E1194" s="143" t="s">
        <v>21</v>
      </c>
      <c r="F1194" s="54">
        <v>3653.01</v>
      </c>
      <c r="G1194" s="54">
        <v>3522.68</v>
      </c>
      <c r="H1194" s="54">
        <v>130.33000000000001</v>
      </c>
      <c r="I1194" s="54" t="s">
        <v>28</v>
      </c>
      <c r="J1194" s="54" t="s">
        <v>1353</v>
      </c>
      <c r="K1194" s="55">
        <v>44652</v>
      </c>
    </row>
    <row r="1195" spans="1:11" s="51" customFormat="1" ht="17.399999999999999" customHeight="1" x14ac:dyDescent="0.25">
      <c r="A1195" s="224" t="s">
        <v>1387</v>
      </c>
      <c r="B1195" s="224"/>
      <c r="C1195" s="224"/>
      <c r="D1195" s="224"/>
      <c r="E1195" s="224"/>
      <c r="F1195" s="59">
        <f>SUM(F1177:F1194)</f>
        <v>41170.33</v>
      </c>
      <c r="G1195" s="59">
        <f t="shared" ref="G1195:J1195" si="53">SUM(G1177:G1194)</f>
        <v>8985.8799999999992</v>
      </c>
      <c r="H1195" s="59">
        <f t="shared" si="53"/>
        <v>30323.859999999997</v>
      </c>
      <c r="I1195" s="59">
        <f t="shared" si="53"/>
        <v>1860.59</v>
      </c>
      <c r="J1195" s="59">
        <f t="shared" si="53"/>
        <v>0</v>
      </c>
      <c r="K1195" s="60"/>
    </row>
    <row r="1196" spans="1:11" s="51" customFormat="1" ht="111.6" customHeight="1" x14ac:dyDescent="0.25">
      <c r="A1196" s="56">
        <v>936</v>
      </c>
      <c r="B1196" s="236" t="s">
        <v>1350</v>
      </c>
      <c r="C1196" s="144" t="s">
        <v>1388</v>
      </c>
      <c r="D1196" s="191" t="s">
        <v>1352</v>
      </c>
      <c r="E1196" s="143" t="s">
        <v>21</v>
      </c>
      <c r="F1196" s="54">
        <v>8053.33</v>
      </c>
      <c r="G1196" s="54" t="s">
        <v>28</v>
      </c>
      <c r="H1196" s="54" t="s">
        <v>28</v>
      </c>
      <c r="I1196" s="54">
        <v>8053.33</v>
      </c>
      <c r="J1196" s="54" t="s">
        <v>1353</v>
      </c>
      <c r="K1196" s="55">
        <v>45231</v>
      </c>
    </row>
    <row r="1197" spans="1:11" s="51" customFormat="1" ht="52.2" customHeight="1" x14ac:dyDescent="0.25">
      <c r="A1197" s="56">
        <v>937</v>
      </c>
      <c r="B1197" s="236"/>
      <c r="C1197" s="144" t="s">
        <v>1389</v>
      </c>
      <c r="D1197" s="191" t="s">
        <v>1390</v>
      </c>
      <c r="E1197" s="143" t="s">
        <v>21</v>
      </c>
      <c r="F1197" s="54">
        <v>652.72</v>
      </c>
      <c r="G1197" s="54" t="s">
        <v>28</v>
      </c>
      <c r="H1197" s="54" t="s">
        <v>28</v>
      </c>
      <c r="I1197" s="54">
        <v>652.72</v>
      </c>
      <c r="J1197" s="54" t="s">
        <v>1353</v>
      </c>
      <c r="K1197" s="55">
        <v>45231</v>
      </c>
    </row>
    <row r="1198" spans="1:11" s="51" customFormat="1" ht="39.6" x14ac:dyDescent="0.25">
      <c r="A1198" s="56">
        <v>938</v>
      </c>
      <c r="B1198" s="236"/>
      <c r="C1198" s="144" t="s">
        <v>1391</v>
      </c>
      <c r="D1198" s="191" t="s">
        <v>1392</v>
      </c>
      <c r="E1198" s="143" t="s">
        <v>21</v>
      </c>
      <c r="F1198" s="54">
        <v>484</v>
      </c>
      <c r="G1198" s="54" t="s">
        <v>28</v>
      </c>
      <c r="H1198" s="54" t="s">
        <v>28</v>
      </c>
      <c r="I1198" s="54">
        <v>484</v>
      </c>
      <c r="J1198" s="54" t="s">
        <v>1353</v>
      </c>
      <c r="K1198" s="55">
        <v>45231</v>
      </c>
    </row>
    <row r="1199" spans="1:11" s="51" customFormat="1" ht="39.6" x14ac:dyDescent="0.25">
      <c r="A1199" s="56">
        <v>939</v>
      </c>
      <c r="B1199" s="236"/>
      <c r="C1199" s="144" t="s">
        <v>1393</v>
      </c>
      <c r="D1199" s="191" t="s">
        <v>1359</v>
      </c>
      <c r="E1199" s="143" t="s">
        <v>21</v>
      </c>
      <c r="F1199" s="54">
        <v>88.8</v>
      </c>
      <c r="G1199" s="54" t="s">
        <v>28</v>
      </c>
      <c r="H1199" s="54" t="s">
        <v>28</v>
      </c>
      <c r="I1199" s="54">
        <v>88.8</v>
      </c>
      <c r="J1199" s="54" t="s">
        <v>1353</v>
      </c>
      <c r="K1199" s="55">
        <v>45231</v>
      </c>
    </row>
    <row r="1200" spans="1:11" s="51" customFormat="1" ht="77.400000000000006" customHeight="1" x14ac:dyDescent="0.25">
      <c r="A1200" s="56">
        <v>940</v>
      </c>
      <c r="B1200" s="236"/>
      <c r="C1200" s="144" t="s">
        <v>1394</v>
      </c>
      <c r="D1200" s="191" t="s">
        <v>1361</v>
      </c>
      <c r="E1200" s="143" t="s">
        <v>21</v>
      </c>
      <c r="F1200" s="54">
        <v>760.32</v>
      </c>
      <c r="G1200" s="54" t="s">
        <v>28</v>
      </c>
      <c r="H1200" s="54" t="s">
        <v>28</v>
      </c>
      <c r="I1200" s="54">
        <v>760.32</v>
      </c>
      <c r="J1200" s="54" t="s">
        <v>1353</v>
      </c>
      <c r="K1200" s="55">
        <v>45231</v>
      </c>
    </row>
    <row r="1201" spans="1:11" s="51" customFormat="1" ht="85.2" customHeight="1" x14ac:dyDescent="0.25">
      <c r="A1201" s="56">
        <v>941</v>
      </c>
      <c r="B1201" s="236"/>
      <c r="C1201" s="144" t="s">
        <v>1395</v>
      </c>
      <c r="D1201" s="191" t="s">
        <v>1364</v>
      </c>
      <c r="E1201" s="143" t="s">
        <v>21</v>
      </c>
      <c r="F1201" s="54">
        <v>297.45</v>
      </c>
      <c r="G1201" s="54" t="s">
        <v>28</v>
      </c>
      <c r="H1201" s="54" t="s">
        <v>28</v>
      </c>
      <c r="I1201" s="54">
        <v>297.45</v>
      </c>
      <c r="J1201" s="54" t="s">
        <v>1353</v>
      </c>
      <c r="K1201" s="55">
        <v>45231</v>
      </c>
    </row>
    <row r="1202" spans="1:11" s="51" customFormat="1" ht="78" customHeight="1" x14ac:dyDescent="0.25">
      <c r="A1202" s="56">
        <v>942</v>
      </c>
      <c r="B1202" s="236"/>
      <c r="C1202" s="144" t="s">
        <v>1396</v>
      </c>
      <c r="D1202" s="191" t="s">
        <v>1366</v>
      </c>
      <c r="E1202" s="143" t="s">
        <v>21</v>
      </c>
      <c r="F1202" s="54">
        <v>136.25</v>
      </c>
      <c r="G1202" s="54" t="s">
        <v>28</v>
      </c>
      <c r="H1202" s="54">
        <v>136.25</v>
      </c>
      <c r="I1202" s="54" t="s">
        <v>28</v>
      </c>
      <c r="J1202" s="54" t="s">
        <v>1353</v>
      </c>
      <c r="K1202" s="55">
        <v>45078</v>
      </c>
    </row>
    <row r="1203" spans="1:11" s="51" customFormat="1" ht="53.4" customHeight="1" x14ac:dyDescent="0.25">
      <c r="A1203" s="56">
        <v>943</v>
      </c>
      <c r="B1203" s="236"/>
      <c r="C1203" s="144" t="s">
        <v>1397</v>
      </c>
      <c r="D1203" s="191" t="s">
        <v>1368</v>
      </c>
      <c r="E1203" s="143" t="s">
        <v>21</v>
      </c>
      <c r="F1203" s="54">
        <v>496.8</v>
      </c>
      <c r="G1203" s="54" t="s">
        <v>28</v>
      </c>
      <c r="H1203" s="54" t="s">
        <v>28</v>
      </c>
      <c r="I1203" s="54">
        <v>496.8</v>
      </c>
      <c r="J1203" s="54" t="s">
        <v>1353</v>
      </c>
      <c r="K1203" s="55">
        <v>45231</v>
      </c>
    </row>
    <row r="1204" spans="1:11" s="51" customFormat="1" ht="39.6" x14ac:dyDescent="0.25">
      <c r="A1204" s="56">
        <v>944</v>
      </c>
      <c r="B1204" s="236"/>
      <c r="C1204" s="144" t="s">
        <v>1398</v>
      </c>
      <c r="D1204" s="191" t="s">
        <v>1308</v>
      </c>
      <c r="E1204" s="143" t="s">
        <v>21</v>
      </c>
      <c r="F1204" s="54">
        <v>1687.06</v>
      </c>
      <c r="G1204" s="54" t="s">
        <v>28</v>
      </c>
      <c r="H1204" s="54" t="s">
        <v>28</v>
      </c>
      <c r="I1204" s="54">
        <v>1687.06</v>
      </c>
      <c r="J1204" s="54" t="s">
        <v>1353</v>
      </c>
      <c r="K1204" s="55">
        <v>45231</v>
      </c>
    </row>
    <row r="1205" spans="1:11" s="51" customFormat="1" ht="59.4" customHeight="1" x14ac:dyDescent="0.25">
      <c r="A1205" s="56">
        <v>945</v>
      </c>
      <c r="B1205" s="236"/>
      <c r="C1205" s="144" t="s">
        <v>1399</v>
      </c>
      <c r="D1205" s="191" t="s">
        <v>1372</v>
      </c>
      <c r="E1205" s="143" t="s">
        <v>21</v>
      </c>
      <c r="F1205" s="54">
        <v>450.66</v>
      </c>
      <c r="G1205" s="54" t="s">
        <v>28</v>
      </c>
      <c r="H1205" s="54" t="s">
        <v>28</v>
      </c>
      <c r="I1205" s="54">
        <v>450.66</v>
      </c>
      <c r="J1205" s="54" t="s">
        <v>1353</v>
      </c>
      <c r="K1205" s="55">
        <v>45231</v>
      </c>
    </row>
    <row r="1206" spans="1:11" s="51" customFormat="1" ht="39.6" x14ac:dyDescent="0.25">
      <c r="A1206" s="56">
        <v>946</v>
      </c>
      <c r="B1206" s="236"/>
      <c r="C1206" s="144" t="s">
        <v>1400</v>
      </c>
      <c r="D1206" s="191" t="s">
        <v>49</v>
      </c>
      <c r="E1206" s="143" t="s">
        <v>21</v>
      </c>
      <c r="F1206" s="54">
        <v>721.44</v>
      </c>
      <c r="G1206" s="54" t="s">
        <v>28</v>
      </c>
      <c r="H1206" s="54" t="s">
        <v>28</v>
      </c>
      <c r="I1206" s="54">
        <v>721.44</v>
      </c>
      <c r="J1206" s="54" t="s">
        <v>1353</v>
      </c>
      <c r="K1206" s="55">
        <v>45231</v>
      </c>
    </row>
    <row r="1207" spans="1:11" s="51" customFormat="1" ht="39.6" x14ac:dyDescent="0.25">
      <c r="A1207" s="56">
        <v>947</v>
      </c>
      <c r="B1207" s="236"/>
      <c r="C1207" s="144" t="s">
        <v>1401</v>
      </c>
      <c r="D1207" s="191" t="s">
        <v>1375</v>
      </c>
      <c r="E1207" s="143" t="s">
        <v>21</v>
      </c>
      <c r="F1207" s="54">
        <v>6140.5</v>
      </c>
      <c r="G1207" s="54" t="s">
        <v>28</v>
      </c>
      <c r="H1207" s="54" t="s">
        <v>28</v>
      </c>
      <c r="I1207" s="54">
        <v>6140.5</v>
      </c>
      <c r="J1207" s="54" t="s">
        <v>1353</v>
      </c>
      <c r="K1207" s="55">
        <v>45231</v>
      </c>
    </row>
    <row r="1208" spans="1:11" s="51" customFormat="1" ht="78" customHeight="1" x14ac:dyDescent="0.25">
      <c r="A1208" s="56">
        <v>948</v>
      </c>
      <c r="B1208" s="236"/>
      <c r="C1208" s="144" t="s">
        <v>1402</v>
      </c>
      <c r="D1208" s="191" t="s">
        <v>1377</v>
      </c>
      <c r="E1208" s="143" t="s">
        <v>21</v>
      </c>
      <c r="F1208" s="54">
        <v>7993.44</v>
      </c>
      <c r="G1208" s="54" t="s">
        <v>28</v>
      </c>
      <c r="H1208" s="54">
        <v>3703.44</v>
      </c>
      <c r="I1208" s="54">
        <v>4290</v>
      </c>
      <c r="J1208" s="54" t="s">
        <v>1353</v>
      </c>
      <c r="K1208" s="55" t="s">
        <v>1403</v>
      </c>
    </row>
    <row r="1209" spans="1:11" s="51" customFormat="1" ht="84.6" customHeight="1" x14ac:dyDescent="0.25">
      <c r="A1209" s="56">
        <v>949</v>
      </c>
      <c r="B1209" s="236"/>
      <c r="C1209" s="144" t="s">
        <v>1404</v>
      </c>
      <c r="D1209" s="191" t="s">
        <v>1405</v>
      </c>
      <c r="E1209" s="143" t="s">
        <v>21</v>
      </c>
      <c r="F1209" s="54">
        <v>315.27</v>
      </c>
      <c r="G1209" s="54" t="s">
        <v>28</v>
      </c>
      <c r="H1209" s="54">
        <v>315.27</v>
      </c>
      <c r="I1209" s="54" t="s">
        <v>28</v>
      </c>
      <c r="J1209" s="54" t="s">
        <v>1353</v>
      </c>
      <c r="K1209" s="55">
        <v>44986</v>
      </c>
    </row>
    <row r="1210" spans="1:11" s="51" customFormat="1" ht="39.6" x14ac:dyDescent="0.25">
      <c r="A1210" s="56">
        <v>950</v>
      </c>
      <c r="B1210" s="236"/>
      <c r="C1210" s="144" t="s">
        <v>1406</v>
      </c>
      <c r="D1210" s="191" t="s">
        <v>91</v>
      </c>
      <c r="E1210" s="143" t="s">
        <v>21</v>
      </c>
      <c r="F1210" s="54">
        <v>72.959999999999994</v>
      </c>
      <c r="G1210" s="54" t="s">
        <v>28</v>
      </c>
      <c r="H1210" s="54">
        <v>72.959999999999994</v>
      </c>
      <c r="I1210" s="54" t="s">
        <v>28</v>
      </c>
      <c r="J1210" s="54" t="s">
        <v>1353</v>
      </c>
      <c r="K1210" s="55">
        <v>44986</v>
      </c>
    </row>
    <row r="1211" spans="1:11" s="51" customFormat="1" ht="102" customHeight="1" x14ac:dyDescent="0.25">
      <c r="A1211" s="56">
        <v>951</v>
      </c>
      <c r="B1211" s="236"/>
      <c r="C1211" s="144" t="s">
        <v>1407</v>
      </c>
      <c r="D1211" s="191" t="s">
        <v>1380</v>
      </c>
      <c r="E1211" s="143" t="s">
        <v>21</v>
      </c>
      <c r="F1211" s="54">
        <v>2865.84</v>
      </c>
      <c r="G1211" s="54" t="s">
        <v>28</v>
      </c>
      <c r="H1211" s="54" t="s">
        <v>28</v>
      </c>
      <c r="I1211" s="54">
        <v>2865.84</v>
      </c>
      <c r="J1211" s="54" t="s">
        <v>1353</v>
      </c>
      <c r="K1211" s="55">
        <v>45231</v>
      </c>
    </row>
    <row r="1212" spans="1:11" s="51" customFormat="1" ht="59.4" customHeight="1" x14ac:dyDescent="0.25">
      <c r="A1212" s="56">
        <v>952</v>
      </c>
      <c r="B1212" s="236"/>
      <c r="C1212" s="144" t="s">
        <v>1408</v>
      </c>
      <c r="D1212" s="191" t="s">
        <v>1409</v>
      </c>
      <c r="E1212" s="143" t="s">
        <v>21</v>
      </c>
      <c r="F1212" s="54">
        <v>35.54</v>
      </c>
      <c r="G1212" s="54" t="s">
        <v>28</v>
      </c>
      <c r="H1212" s="54">
        <v>35.54</v>
      </c>
      <c r="I1212" s="54" t="s">
        <v>28</v>
      </c>
      <c r="J1212" s="54" t="s">
        <v>1353</v>
      </c>
      <c r="K1212" s="55">
        <v>45017</v>
      </c>
    </row>
    <row r="1213" spans="1:11" s="51" customFormat="1" ht="39.6" x14ac:dyDescent="0.25">
      <c r="A1213" s="56">
        <v>953</v>
      </c>
      <c r="B1213" s="236"/>
      <c r="C1213" s="144" t="s">
        <v>1410</v>
      </c>
      <c r="D1213" s="191" t="s">
        <v>1383</v>
      </c>
      <c r="E1213" s="143" t="s">
        <v>21</v>
      </c>
      <c r="F1213" s="54">
        <v>311.14999999999998</v>
      </c>
      <c r="G1213" s="54" t="s">
        <v>28</v>
      </c>
      <c r="H1213" s="54">
        <v>311.14999999999998</v>
      </c>
      <c r="I1213" s="54" t="s">
        <v>28</v>
      </c>
      <c r="J1213" s="54" t="s">
        <v>1353</v>
      </c>
      <c r="K1213" s="55">
        <v>45017</v>
      </c>
    </row>
    <row r="1214" spans="1:11" s="51" customFormat="1" ht="39.6" x14ac:dyDescent="0.25">
      <c r="A1214" s="56">
        <v>954</v>
      </c>
      <c r="B1214" s="236"/>
      <c r="C1214" s="144" t="s">
        <v>1411</v>
      </c>
      <c r="D1214" s="191" t="s">
        <v>49</v>
      </c>
      <c r="E1214" s="143" t="s">
        <v>21</v>
      </c>
      <c r="F1214" s="54">
        <v>3272.64</v>
      </c>
      <c r="G1214" s="54" t="s">
        <v>28</v>
      </c>
      <c r="H1214" s="54" t="s">
        <v>28</v>
      </c>
      <c r="I1214" s="54">
        <v>3272.64</v>
      </c>
      <c r="J1214" s="54" t="s">
        <v>1353</v>
      </c>
      <c r="K1214" s="55">
        <v>45231</v>
      </c>
    </row>
    <row r="1215" spans="1:11" s="51" customFormat="1" ht="30" customHeight="1" x14ac:dyDescent="0.3">
      <c r="A1215" s="237" t="s">
        <v>1412</v>
      </c>
      <c r="B1215" s="238"/>
      <c r="C1215" s="238"/>
      <c r="D1215" s="238"/>
      <c r="E1215" s="238"/>
      <c r="F1215" s="59">
        <f>SUM(F1196:F1214)</f>
        <v>34836.17</v>
      </c>
      <c r="G1215" s="59">
        <f t="shared" ref="G1215:J1215" si="54">SUM(G1196:G1214)</f>
        <v>0</v>
      </c>
      <c r="H1215" s="59">
        <f t="shared" si="54"/>
        <v>4574.6099999999997</v>
      </c>
      <c r="I1215" s="59">
        <f t="shared" si="54"/>
        <v>30261.559999999998</v>
      </c>
      <c r="J1215" s="59">
        <f t="shared" si="54"/>
        <v>0</v>
      </c>
      <c r="K1215" s="60"/>
    </row>
    <row r="1216" spans="1:11" s="51" customFormat="1" ht="53.4" customHeight="1" x14ac:dyDescent="0.25">
      <c r="A1216" s="56">
        <v>955</v>
      </c>
      <c r="B1216" s="236" t="s">
        <v>1350</v>
      </c>
      <c r="C1216" s="144" t="s">
        <v>1413</v>
      </c>
      <c r="D1216" s="191" t="s">
        <v>1366</v>
      </c>
      <c r="E1216" s="143" t="s">
        <v>21</v>
      </c>
      <c r="F1216" s="54">
        <v>136.25</v>
      </c>
      <c r="G1216" s="54" t="s">
        <v>28</v>
      </c>
      <c r="H1216" s="54">
        <v>136.25</v>
      </c>
      <c r="I1216" s="54" t="s">
        <v>28</v>
      </c>
      <c r="J1216" s="54" t="s">
        <v>1353</v>
      </c>
      <c r="K1216" s="55">
        <v>45078</v>
      </c>
    </row>
    <row r="1217" spans="1:11" s="51" customFormat="1" ht="76.8" customHeight="1" x14ac:dyDescent="0.25">
      <c r="A1217" s="56">
        <v>956</v>
      </c>
      <c r="B1217" s="236"/>
      <c r="C1217" s="144" t="s">
        <v>1414</v>
      </c>
      <c r="D1217" s="191" t="s">
        <v>1377</v>
      </c>
      <c r="E1217" s="143" t="s">
        <v>21</v>
      </c>
      <c r="F1217" s="54">
        <v>3703.44</v>
      </c>
      <c r="G1217" s="54" t="s">
        <v>28</v>
      </c>
      <c r="H1217" s="54" t="s">
        <v>28</v>
      </c>
      <c r="I1217" s="54">
        <v>3703.44</v>
      </c>
      <c r="J1217" s="54" t="s">
        <v>1353</v>
      </c>
      <c r="K1217" s="55">
        <v>45231</v>
      </c>
    </row>
    <row r="1218" spans="1:11" s="51" customFormat="1" ht="85.8" customHeight="1" x14ac:dyDescent="0.25">
      <c r="A1218" s="56">
        <v>957</v>
      </c>
      <c r="B1218" s="236"/>
      <c r="C1218" s="144" t="s">
        <v>1415</v>
      </c>
      <c r="D1218" s="191" t="s">
        <v>1405</v>
      </c>
      <c r="E1218" s="143" t="s">
        <v>21</v>
      </c>
      <c r="F1218" s="54">
        <v>315.27</v>
      </c>
      <c r="G1218" s="54" t="s">
        <v>28</v>
      </c>
      <c r="H1218" s="54" t="s">
        <v>28</v>
      </c>
      <c r="I1218" s="54">
        <v>315.27</v>
      </c>
      <c r="J1218" s="81" t="s">
        <v>1353</v>
      </c>
      <c r="K1218" s="55">
        <v>45352</v>
      </c>
    </row>
    <row r="1219" spans="1:11" s="51" customFormat="1" ht="48.6" customHeight="1" x14ac:dyDescent="0.25">
      <c r="A1219" s="56">
        <v>958</v>
      </c>
      <c r="B1219" s="236"/>
      <c r="C1219" s="144" t="s">
        <v>1416</v>
      </c>
      <c r="D1219" s="191" t="s">
        <v>91</v>
      </c>
      <c r="E1219" s="143" t="s">
        <v>21</v>
      </c>
      <c r="F1219" s="54">
        <v>72.959999999999994</v>
      </c>
      <c r="G1219" s="54" t="s">
        <v>28</v>
      </c>
      <c r="H1219" s="54" t="s">
        <v>28</v>
      </c>
      <c r="I1219" s="54">
        <v>72.959999999999994</v>
      </c>
      <c r="J1219" s="81" t="s">
        <v>1353</v>
      </c>
      <c r="K1219" s="55">
        <v>45352</v>
      </c>
    </row>
    <row r="1220" spans="1:11" s="51" customFormat="1" ht="67.8" customHeight="1" x14ac:dyDescent="0.25">
      <c r="A1220" s="56">
        <v>959</v>
      </c>
      <c r="B1220" s="236"/>
      <c r="C1220" s="144" t="s">
        <v>1417</v>
      </c>
      <c r="D1220" s="54" t="s">
        <v>1409</v>
      </c>
      <c r="E1220" s="143" t="s">
        <v>21</v>
      </c>
      <c r="F1220" s="54">
        <v>35.54</v>
      </c>
      <c r="G1220" s="54" t="s">
        <v>28</v>
      </c>
      <c r="H1220" s="54" t="s">
        <v>28</v>
      </c>
      <c r="I1220" s="54">
        <v>35.54</v>
      </c>
      <c r="J1220" s="81" t="s">
        <v>1353</v>
      </c>
      <c r="K1220" s="55">
        <v>45383</v>
      </c>
    </row>
    <row r="1221" spans="1:11" s="51" customFormat="1" ht="39.6" x14ac:dyDescent="0.25">
      <c r="A1221" s="56">
        <v>960</v>
      </c>
      <c r="B1221" s="236"/>
      <c r="C1221" s="144" t="s">
        <v>1418</v>
      </c>
      <c r="D1221" s="54" t="s">
        <v>1383</v>
      </c>
      <c r="E1221" s="143" t="s">
        <v>21</v>
      </c>
      <c r="F1221" s="54">
        <v>234.21</v>
      </c>
      <c r="G1221" s="54" t="s">
        <v>28</v>
      </c>
      <c r="H1221" s="54" t="s">
        <v>28</v>
      </c>
      <c r="I1221" s="54">
        <v>234.21</v>
      </c>
      <c r="J1221" s="81" t="s">
        <v>1353</v>
      </c>
      <c r="K1221" s="55">
        <v>45383</v>
      </c>
    </row>
    <row r="1222" spans="1:11" s="51" customFormat="1" ht="26.4" customHeight="1" x14ac:dyDescent="0.25">
      <c r="A1222" s="240" t="s">
        <v>1419</v>
      </c>
      <c r="B1222" s="223"/>
      <c r="C1222" s="223"/>
      <c r="D1222" s="223"/>
      <c r="E1222" s="223"/>
      <c r="F1222" s="59">
        <f>SUM(F1216:F1221)</f>
        <v>4497.67</v>
      </c>
      <c r="G1222" s="59">
        <f t="shared" ref="G1222:J1222" si="55">SUM(G1216:G1221)</f>
        <v>0</v>
      </c>
      <c r="H1222" s="59">
        <f t="shared" si="55"/>
        <v>136.25</v>
      </c>
      <c r="I1222" s="59">
        <f t="shared" si="55"/>
        <v>4361.42</v>
      </c>
      <c r="J1222" s="120">
        <f t="shared" si="55"/>
        <v>0</v>
      </c>
      <c r="K1222" s="60"/>
    </row>
    <row r="1223" spans="1:11" s="51" customFormat="1" ht="79.2" customHeight="1" x14ac:dyDescent="0.25">
      <c r="A1223" s="56">
        <v>961</v>
      </c>
      <c r="B1223" s="235" t="s">
        <v>1444</v>
      </c>
      <c r="C1223" s="144" t="s">
        <v>1420</v>
      </c>
      <c r="D1223" s="191" t="s">
        <v>1421</v>
      </c>
      <c r="E1223" s="144" t="s">
        <v>12</v>
      </c>
      <c r="F1223" s="54">
        <v>507.2</v>
      </c>
      <c r="G1223" s="54">
        <v>140</v>
      </c>
      <c r="H1223" s="54">
        <v>367.2</v>
      </c>
      <c r="I1223" s="54">
        <v>0</v>
      </c>
      <c r="J1223" s="81">
        <v>0</v>
      </c>
      <c r="K1223" s="55">
        <v>44805</v>
      </c>
    </row>
    <row r="1224" spans="1:11" s="51" customFormat="1" ht="60" customHeight="1" x14ac:dyDescent="0.25">
      <c r="A1224" s="56">
        <v>962</v>
      </c>
      <c r="B1224" s="235"/>
      <c r="C1224" s="144" t="s">
        <v>1422</v>
      </c>
      <c r="D1224" s="191" t="s">
        <v>1423</v>
      </c>
      <c r="E1224" s="144" t="s">
        <v>12</v>
      </c>
      <c r="F1224" s="54">
        <v>1347.61</v>
      </c>
      <c r="G1224" s="54">
        <v>25</v>
      </c>
      <c r="H1224" s="54">
        <v>1322.61</v>
      </c>
      <c r="I1224" s="54">
        <v>0</v>
      </c>
      <c r="J1224" s="81">
        <v>0</v>
      </c>
      <c r="K1224" s="55">
        <v>44805</v>
      </c>
    </row>
    <row r="1225" spans="1:11" s="51" customFormat="1" ht="39.6" x14ac:dyDescent="0.25">
      <c r="A1225" s="56">
        <v>963</v>
      </c>
      <c r="B1225" s="235"/>
      <c r="C1225" s="144" t="s">
        <v>1424</v>
      </c>
      <c r="D1225" s="191" t="s">
        <v>49</v>
      </c>
      <c r="E1225" s="144" t="s">
        <v>12</v>
      </c>
      <c r="F1225" s="54">
        <v>652.30999999999995</v>
      </c>
      <c r="G1225" s="54">
        <v>0</v>
      </c>
      <c r="H1225" s="54">
        <v>591.79999999999995</v>
      </c>
      <c r="I1225" s="54">
        <v>60.51</v>
      </c>
      <c r="J1225" s="81">
        <v>0</v>
      </c>
      <c r="K1225" s="55">
        <v>44805</v>
      </c>
    </row>
    <row r="1226" spans="1:11" s="51" customFormat="1" ht="26.4" x14ac:dyDescent="0.25">
      <c r="A1226" s="56">
        <v>964</v>
      </c>
      <c r="B1226" s="235"/>
      <c r="C1226" s="144" t="s">
        <v>1425</v>
      </c>
      <c r="D1226" s="191" t="s">
        <v>49</v>
      </c>
      <c r="E1226" s="144" t="s">
        <v>12</v>
      </c>
      <c r="F1226" s="54">
        <v>1208.8</v>
      </c>
      <c r="G1226" s="54">
        <v>0</v>
      </c>
      <c r="H1226" s="54">
        <v>1091.68</v>
      </c>
      <c r="I1226" s="54">
        <v>117.12</v>
      </c>
      <c r="J1226" s="81">
        <v>0</v>
      </c>
      <c r="K1226" s="55">
        <v>44805</v>
      </c>
    </row>
    <row r="1227" spans="1:11" s="51" customFormat="1" ht="78.599999999999994" customHeight="1" x14ac:dyDescent="0.25">
      <c r="A1227" s="56">
        <v>965</v>
      </c>
      <c r="B1227" s="235"/>
      <c r="C1227" s="144" t="s">
        <v>1426</v>
      </c>
      <c r="D1227" s="191" t="s">
        <v>831</v>
      </c>
      <c r="E1227" s="144" t="s">
        <v>12</v>
      </c>
      <c r="F1227" s="54">
        <v>428.4</v>
      </c>
      <c r="G1227" s="54">
        <v>0</v>
      </c>
      <c r="H1227" s="54">
        <v>428.4</v>
      </c>
      <c r="I1227" s="57">
        <v>0</v>
      </c>
      <c r="J1227" s="57">
        <v>0</v>
      </c>
      <c r="K1227" s="55">
        <v>44805</v>
      </c>
    </row>
    <row r="1228" spans="1:11" s="51" customFormat="1" ht="69" customHeight="1" x14ac:dyDescent="0.25">
      <c r="A1228" s="56">
        <v>966</v>
      </c>
      <c r="B1228" s="235"/>
      <c r="C1228" s="144" t="s">
        <v>1427</v>
      </c>
      <c r="D1228" s="191" t="s">
        <v>1428</v>
      </c>
      <c r="E1228" s="144" t="s">
        <v>12</v>
      </c>
      <c r="F1228" s="54">
        <v>112</v>
      </c>
      <c r="G1228" s="54">
        <v>0</v>
      </c>
      <c r="H1228" s="54">
        <v>112</v>
      </c>
      <c r="I1228" s="57">
        <v>0</v>
      </c>
      <c r="J1228" s="57">
        <v>0</v>
      </c>
      <c r="K1228" s="55">
        <v>44805</v>
      </c>
    </row>
    <row r="1229" spans="1:11" s="51" customFormat="1" ht="121.8" customHeight="1" x14ac:dyDescent="0.25">
      <c r="A1229" s="56">
        <v>967</v>
      </c>
      <c r="B1229" s="235"/>
      <c r="C1229" s="144" t="s">
        <v>1429</v>
      </c>
      <c r="D1229" s="191" t="s">
        <v>1430</v>
      </c>
      <c r="E1229" s="144" t="s">
        <v>12</v>
      </c>
      <c r="F1229" s="54">
        <v>105.89</v>
      </c>
      <c r="G1229" s="54">
        <v>0</v>
      </c>
      <c r="H1229" s="54">
        <v>105.89</v>
      </c>
      <c r="I1229" s="57">
        <v>0</v>
      </c>
      <c r="J1229" s="57">
        <v>0</v>
      </c>
      <c r="K1229" s="55">
        <v>44805</v>
      </c>
    </row>
    <row r="1230" spans="1:11" s="51" customFormat="1" ht="95.4" customHeight="1" x14ac:dyDescent="0.25">
      <c r="A1230" s="56">
        <v>968</v>
      </c>
      <c r="B1230" s="235"/>
      <c r="C1230" s="144" t="s">
        <v>1431</v>
      </c>
      <c r="D1230" s="191" t="s">
        <v>1432</v>
      </c>
      <c r="E1230" s="144" t="s">
        <v>12</v>
      </c>
      <c r="F1230" s="54">
        <v>213.61</v>
      </c>
      <c r="G1230" s="54">
        <v>0</v>
      </c>
      <c r="H1230" s="54">
        <v>213.61</v>
      </c>
      <c r="I1230" s="57">
        <v>0</v>
      </c>
      <c r="J1230" s="57">
        <v>0</v>
      </c>
      <c r="K1230" s="55">
        <v>44805</v>
      </c>
    </row>
    <row r="1231" spans="1:11" s="51" customFormat="1" ht="84.6" customHeight="1" x14ac:dyDescent="0.25">
      <c r="A1231" s="56">
        <v>969</v>
      </c>
      <c r="B1231" s="235"/>
      <c r="C1231" s="144" t="s">
        <v>1433</v>
      </c>
      <c r="D1231" s="191" t="s">
        <v>1434</v>
      </c>
      <c r="E1231" s="144" t="s">
        <v>12</v>
      </c>
      <c r="F1231" s="54">
        <v>113.45</v>
      </c>
      <c r="G1231" s="54">
        <v>0</v>
      </c>
      <c r="H1231" s="54">
        <v>113.45</v>
      </c>
      <c r="I1231" s="57">
        <v>0</v>
      </c>
      <c r="J1231" s="57">
        <v>0</v>
      </c>
      <c r="K1231" s="55">
        <v>44805</v>
      </c>
    </row>
    <row r="1232" spans="1:11" s="51" customFormat="1" ht="49.2" customHeight="1" x14ac:dyDescent="0.25">
      <c r="A1232" s="56">
        <v>970</v>
      </c>
      <c r="B1232" s="235"/>
      <c r="C1232" s="144" t="s">
        <v>1435</v>
      </c>
      <c r="D1232" s="191" t="s">
        <v>1370</v>
      </c>
      <c r="E1232" s="144" t="s">
        <v>12</v>
      </c>
      <c r="F1232" s="54">
        <v>622.62</v>
      </c>
      <c r="G1232" s="54">
        <v>0</v>
      </c>
      <c r="H1232" s="54">
        <v>622.62</v>
      </c>
      <c r="I1232" s="57">
        <v>0</v>
      </c>
      <c r="J1232" s="57">
        <v>0</v>
      </c>
      <c r="K1232" s="55">
        <v>44805</v>
      </c>
    </row>
    <row r="1233" spans="1:11" s="51" customFormat="1" ht="26.4" x14ac:dyDescent="0.25">
      <c r="A1233" s="56">
        <v>971</v>
      </c>
      <c r="B1233" s="235"/>
      <c r="C1233" s="144" t="s">
        <v>1436</v>
      </c>
      <c r="D1233" s="191" t="s">
        <v>91</v>
      </c>
      <c r="E1233" s="144" t="s">
        <v>12</v>
      </c>
      <c r="F1233" s="54">
        <v>78.3</v>
      </c>
      <c r="G1233" s="54">
        <v>78.3</v>
      </c>
      <c r="H1233" s="57">
        <v>0</v>
      </c>
      <c r="I1233" s="57">
        <v>0</v>
      </c>
      <c r="J1233" s="57">
        <v>0</v>
      </c>
      <c r="K1233" s="55">
        <v>44621</v>
      </c>
    </row>
    <row r="1234" spans="1:11" s="51" customFormat="1" ht="55.2" customHeight="1" x14ac:dyDescent="0.25">
      <c r="A1234" s="56">
        <v>972</v>
      </c>
      <c r="B1234" s="235"/>
      <c r="C1234" s="144" t="s">
        <v>1437</v>
      </c>
      <c r="D1234" s="191" t="s">
        <v>1438</v>
      </c>
      <c r="E1234" s="144" t="s">
        <v>12</v>
      </c>
      <c r="F1234" s="54">
        <v>82.41</v>
      </c>
      <c r="G1234" s="54">
        <v>82.41</v>
      </c>
      <c r="H1234" s="57">
        <v>0</v>
      </c>
      <c r="I1234" s="57">
        <v>0</v>
      </c>
      <c r="J1234" s="57">
        <v>0</v>
      </c>
      <c r="K1234" s="55">
        <v>44621</v>
      </c>
    </row>
    <row r="1235" spans="1:11" s="51" customFormat="1" ht="57" customHeight="1" x14ac:dyDescent="0.25">
      <c r="A1235" s="56">
        <v>973</v>
      </c>
      <c r="B1235" s="235"/>
      <c r="C1235" s="144" t="s">
        <v>1439</v>
      </c>
      <c r="D1235" s="191" t="s">
        <v>1440</v>
      </c>
      <c r="E1235" s="144" t="s">
        <v>12</v>
      </c>
      <c r="F1235" s="54">
        <v>450.47</v>
      </c>
      <c r="G1235" s="54">
        <v>450.47</v>
      </c>
      <c r="H1235" s="57">
        <v>0</v>
      </c>
      <c r="I1235" s="57">
        <v>0</v>
      </c>
      <c r="J1235" s="57">
        <v>0</v>
      </c>
      <c r="K1235" s="55">
        <v>44621</v>
      </c>
    </row>
    <row r="1236" spans="1:11" s="51" customFormat="1" ht="54.6" customHeight="1" x14ac:dyDescent="0.25">
      <c r="A1236" s="56">
        <v>974</v>
      </c>
      <c r="B1236" s="235"/>
      <c r="C1236" s="144" t="s">
        <v>1441</v>
      </c>
      <c r="D1236" s="191" t="s">
        <v>1442</v>
      </c>
      <c r="E1236" s="144" t="s">
        <v>12</v>
      </c>
      <c r="F1236" s="54">
        <v>960</v>
      </c>
      <c r="G1236" s="54">
        <v>960</v>
      </c>
      <c r="H1236" s="57">
        <v>0</v>
      </c>
      <c r="I1236" s="57">
        <v>0</v>
      </c>
      <c r="J1236" s="57">
        <v>0</v>
      </c>
      <c r="K1236" s="55">
        <v>44621</v>
      </c>
    </row>
    <row r="1237" spans="1:11" s="51" customFormat="1" ht="19.2" customHeight="1" x14ac:dyDescent="0.3">
      <c r="A1237" s="232" t="s">
        <v>1443</v>
      </c>
      <c r="B1237" s="218"/>
      <c r="C1237" s="218"/>
      <c r="D1237" s="218"/>
      <c r="E1237" s="218"/>
      <c r="F1237" s="59">
        <f>SUM(F1223:F1236)</f>
        <v>6883.07</v>
      </c>
      <c r="G1237" s="59">
        <f t="shared" ref="G1237:J1237" si="56">SUM(G1223:G1236)</f>
        <v>1736.18</v>
      </c>
      <c r="H1237" s="59">
        <f t="shared" si="56"/>
        <v>4969.2599999999993</v>
      </c>
      <c r="I1237" s="59">
        <f t="shared" si="56"/>
        <v>177.63</v>
      </c>
      <c r="J1237" s="59">
        <f t="shared" si="56"/>
        <v>0</v>
      </c>
      <c r="K1237" s="121"/>
    </row>
    <row r="1238" spans="1:11" s="51" customFormat="1" ht="66" customHeight="1" x14ac:dyDescent="0.25">
      <c r="A1238" s="56">
        <v>975</v>
      </c>
      <c r="B1238" s="236" t="s">
        <v>1444</v>
      </c>
      <c r="C1238" s="144" t="s">
        <v>1445</v>
      </c>
      <c r="D1238" s="54" t="s">
        <v>1446</v>
      </c>
      <c r="E1238" s="144" t="s">
        <v>12</v>
      </c>
      <c r="F1238" s="54">
        <v>507.2</v>
      </c>
      <c r="G1238" s="57">
        <v>0</v>
      </c>
      <c r="H1238" s="54">
        <v>140</v>
      </c>
      <c r="I1238" s="54">
        <v>367.2</v>
      </c>
      <c r="J1238" s="57">
        <v>0</v>
      </c>
      <c r="K1238" s="55">
        <v>45170</v>
      </c>
    </row>
    <row r="1239" spans="1:11" s="51" customFormat="1" ht="66.599999999999994" customHeight="1" x14ac:dyDescent="0.25">
      <c r="A1239" s="56">
        <v>976</v>
      </c>
      <c r="B1239" s="236"/>
      <c r="C1239" s="144" t="s">
        <v>1447</v>
      </c>
      <c r="D1239" s="191" t="s">
        <v>1448</v>
      </c>
      <c r="E1239" s="144" t="s">
        <v>12</v>
      </c>
      <c r="F1239" s="54">
        <v>245</v>
      </c>
      <c r="G1239" s="57">
        <v>0</v>
      </c>
      <c r="H1239" s="54">
        <v>45</v>
      </c>
      <c r="I1239" s="54">
        <v>200</v>
      </c>
      <c r="J1239" s="57">
        <v>0</v>
      </c>
      <c r="K1239" s="55">
        <v>45170</v>
      </c>
    </row>
    <row r="1240" spans="1:11" s="51" customFormat="1" ht="56.25" customHeight="1" x14ac:dyDescent="0.25">
      <c r="A1240" s="56">
        <v>977</v>
      </c>
      <c r="B1240" s="236"/>
      <c r="C1240" s="144" t="s">
        <v>1449</v>
      </c>
      <c r="D1240" s="191" t="s">
        <v>1450</v>
      </c>
      <c r="E1240" s="144" t="s">
        <v>12</v>
      </c>
      <c r="F1240" s="54">
        <v>428.4</v>
      </c>
      <c r="G1240" s="57">
        <v>0</v>
      </c>
      <c r="H1240" s="54">
        <v>0</v>
      </c>
      <c r="I1240" s="54">
        <v>428.4</v>
      </c>
      <c r="J1240" s="57">
        <v>0</v>
      </c>
      <c r="K1240" s="55">
        <v>45170</v>
      </c>
    </row>
    <row r="1241" spans="1:11" s="51" customFormat="1" ht="66" customHeight="1" x14ac:dyDescent="0.25">
      <c r="A1241" s="56">
        <v>978</v>
      </c>
      <c r="B1241" s="236"/>
      <c r="C1241" s="144" t="s">
        <v>1451</v>
      </c>
      <c r="D1241" s="191" t="s">
        <v>1452</v>
      </c>
      <c r="E1241" s="144" t="s">
        <v>12</v>
      </c>
      <c r="F1241" s="54">
        <v>112</v>
      </c>
      <c r="G1241" s="57">
        <v>0</v>
      </c>
      <c r="H1241" s="54">
        <v>0</v>
      </c>
      <c r="I1241" s="54">
        <v>112</v>
      </c>
      <c r="J1241" s="57">
        <v>0</v>
      </c>
      <c r="K1241" s="55">
        <v>45170</v>
      </c>
    </row>
    <row r="1242" spans="1:11" s="51" customFormat="1" ht="110.4" customHeight="1" x14ac:dyDescent="0.25">
      <c r="A1242" s="56">
        <v>979</v>
      </c>
      <c r="B1242" s="236"/>
      <c r="C1242" s="144" t="s">
        <v>1453</v>
      </c>
      <c r="D1242" s="191" t="s">
        <v>1430</v>
      </c>
      <c r="E1242" s="144" t="s">
        <v>12</v>
      </c>
      <c r="F1242" s="54">
        <v>105.89</v>
      </c>
      <c r="G1242" s="57">
        <v>0</v>
      </c>
      <c r="H1242" s="54">
        <v>0</v>
      </c>
      <c r="I1242" s="54">
        <v>105.89</v>
      </c>
      <c r="J1242" s="57">
        <v>0</v>
      </c>
      <c r="K1242" s="55">
        <v>45170</v>
      </c>
    </row>
    <row r="1243" spans="1:11" s="51" customFormat="1" ht="94.2" customHeight="1" x14ac:dyDescent="0.25">
      <c r="A1243" s="56">
        <v>980</v>
      </c>
      <c r="B1243" s="236"/>
      <c r="C1243" s="144" t="s">
        <v>1454</v>
      </c>
      <c r="D1243" s="191" t="s">
        <v>1455</v>
      </c>
      <c r="E1243" s="144" t="s">
        <v>12</v>
      </c>
      <c r="F1243" s="54">
        <v>213.61</v>
      </c>
      <c r="G1243" s="57">
        <v>0</v>
      </c>
      <c r="H1243" s="54">
        <v>0</v>
      </c>
      <c r="I1243" s="54">
        <v>213.61</v>
      </c>
      <c r="J1243" s="57">
        <v>0</v>
      </c>
      <c r="K1243" s="55">
        <v>45170</v>
      </c>
    </row>
    <row r="1244" spans="1:11" s="51" customFormat="1" ht="81" customHeight="1" x14ac:dyDescent="0.25">
      <c r="A1244" s="56">
        <v>981</v>
      </c>
      <c r="B1244" s="236"/>
      <c r="C1244" s="144" t="s">
        <v>1456</v>
      </c>
      <c r="D1244" s="191" t="s">
        <v>1457</v>
      </c>
      <c r="E1244" s="144" t="s">
        <v>12</v>
      </c>
      <c r="F1244" s="54">
        <v>113.45</v>
      </c>
      <c r="G1244" s="57">
        <v>0</v>
      </c>
      <c r="H1244" s="54">
        <v>0</v>
      </c>
      <c r="I1244" s="54">
        <v>113.45</v>
      </c>
      <c r="J1244" s="57">
        <v>0</v>
      </c>
      <c r="K1244" s="55">
        <v>45170</v>
      </c>
    </row>
    <row r="1245" spans="1:11" s="51" customFormat="1" ht="50.4" customHeight="1" x14ac:dyDescent="0.25">
      <c r="A1245" s="56">
        <v>982</v>
      </c>
      <c r="B1245" s="236"/>
      <c r="C1245" s="144" t="s">
        <v>1458</v>
      </c>
      <c r="D1245" s="191" t="s">
        <v>1459</v>
      </c>
      <c r="E1245" s="144" t="s">
        <v>12</v>
      </c>
      <c r="F1245" s="54">
        <v>622.62</v>
      </c>
      <c r="G1245" s="57">
        <v>0</v>
      </c>
      <c r="H1245" s="54">
        <v>0</v>
      </c>
      <c r="I1245" s="54">
        <v>622.62</v>
      </c>
      <c r="J1245" s="57">
        <v>0</v>
      </c>
      <c r="K1245" s="55">
        <v>45170</v>
      </c>
    </row>
    <row r="1246" spans="1:11" s="51" customFormat="1" ht="28.95" customHeight="1" x14ac:dyDescent="0.3">
      <c r="A1246" s="232" t="s">
        <v>1460</v>
      </c>
      <c r="B1246" s="218"/>
      <c r="C1246" s="218"/>
      <c r="D1246" s="218"/>
      <c r="E1246" s="218"/>
      <c r="F1246" s="59">
        <f>SUM(F1238:F1245)</f>
        <v>2348.17</v>
      </c>
      <c r="G1246" s="59">
        <f t="shared" ref="G1246:J1246" si="57">SUM(G1238:G1245)</f>
        <v>0</v>
      </c>
      <c r="H1246" s="59">
        <f t="shared" si="57"/>
        <v>185</v>
      </c>
      <c r="I1246" s="59">
        <f t="shared" si="57"/>
        <v>2163.17</v>
      </c>
      <c r="J1246" s="59">
        <f t="shared" si="57"/>
        <v>0</v>
      </c>
      <c r="K1246" s="60"/>
    </row>
    <row r="1247" spans="1:11" s="51" customFormat="1" ht="52.8" x14ac:dyDescent="0.25">
      <c r="A1247" s="56">
        <v>983</v>
      </c>
      <c r="B1247" s="226" t="s">
        <v>1444</v>
      </c>
      <c r="C1247" s="144" t="s">
        <v>1461</v>
      </c>
      <c r="D1247" s="143" t="s">
        <v>49</v>
      </c>
      <c r="E1247" s="144" t="s">
        <v>1462</v>
      </c>
      <c r="F1247" s="54">
        <v>591.79999999999995</v>
      </c>
      <c r="G1247" s="57">
        <v>0</v>
      </c>
      <c r="H1247" s="54">
        <v>0</v>
      </c>
      <c r="I1247" s="54">
        <v>591.79999999999995</v>
      </c>
      <c r="J1247" s="54">
        <v>0</v>
      </c>
      <c r="K1247" s="55">
        <v>45536</v>
      </c>
    </row>
    <row r="1248" spans="1:11" s="51" customFormat="1" ht="33" customHeight="1" x14ac:dyDescent="0.25">
      <c r="A1248" s="56">
        <v>984</v>
      </c>
      <c r="B1248" s="226"/>
      <c r="C1248" s="144" t="s">
        <v>1463</v>
      </c>
      <c r="D1248" s="143" t="s">
        <v>49</v>
      </c>
      <c r="E1248" s="144" t="s">
        <v>1462</v>
      </c>
      <c r="F1248" s="54">
        <v>1091.68</v>
      </c>
      <c r="G1248" s="57">
        <v>0</v>
      </c>
      <c r="H1248" s="54">
        <v>0</v>
      </c>
      <c r="I1248" s="54">
        <v>1091.68</v>
      </c>
      <c r="J1248" s="54">
        <v>0</v>
      </c>
      <c r="K1248" s="55">
        <v>45536</v>
      </c>
    </row>
    <row r="1249" spans="1:11" s="51" customFormat="1" ht="33" customHeight="1" x14ac:dyDescent="0.3">
      <c r="A1249" s="233" t="s">
        <v>1464</v>
      </c>
      <c r="B1249" s="234"/>
      <c r="C1249" s="234"/>
      <c r="D1249" s="234"/>
      <c r="E1249" s="234"/>
      <c r="F1249" s="59">
        <f>SUM(F1247:F1248)</f>
        <v>1683.48</v>
      </c>
      <c r="G1249" s="57">
        <v>0</v>
      </c>
      <c r="H1249" s="59">
        <f t="shared" ref="H1249:J1249" si="58">SUM(H1247:H1248)</f>
        <v>0</v>
      </c>
      <c r="I1249" s="59">
        <f>SUM(I1247:I1248)</f>
        <v>1683.48</v>
      </c>
      <c r="J1249" s="59">
        <f t="shared" si="58"/>
        <v>0</v>
      </c>
      <c r="K1249" s="60"/>
    </row>
    <row r="1250" spans="1:11" s="51" customFormat="1" ht="53.4" customHeight="1" x14ac:dyDescent="0.25">
      <c r="A1250" s="56">
        <v>985</v>
      </c>
      <c r="B1250" s="226" t="s">
        <v>1465</v>
      </c>
      <c r="C1250" s="144" t="s">
        <v>1466</v>
      </c>
      <c r="D1250" s="143" t="s">
        <v>1467</v>
      </c>
      <c r="E1250" s="144" t="s">
        <v>21</v>
      </c>
      <c r="F1250" s="54">
        <v>1973.52</v>
      </c>
      <c r="G1250" s="57">
        <v>0</v>
      </c>
      <c r="H1250" s="54">
        <v>1805.9</v>
      </c>
      <c r="I1250" s="54">
        <v>167.62</v>
      </c>
      <c r="J1250" s="54"/>
      <c r="K1250" s="58">
        <v>44866</v>
      </c>
    </row>
    <row r="1251" spans="1:11" s="51" customFormat="1" ht="53.4" customHeight="1" x14ac:dyDescent="0.25">
      <c r="A1251" s="56">
        <v>986</v>
      </c>
      <c r="B1251" s="226"/>
      <c r="C1251" s="144" t="s">
        <v>1468</v>
      </c>
      <c r="D1251" s="143" t="s">
        <v>1469</v>
      </c>
      <c r="E1251" s="144" t="s">
        <v>21</v>
      </c>
      <c r="F1251" s="54">
        <v>272.27999999999997</v>
      </c>
      <c r="G1251" s="57">
        <v>0</v>
      </c>
      <c r="H1251" s="54">
        <v>272.27999999999997</v>
      </c>
      <c r="I1251" s="57"/>
      <c r="J1251" s="54"/>
      <c r="K1251" s="55">
        <v>44896</v>
      </c>
    </row>
    <row r="1252" spans="1:11" s="51" customFormat="1" ht="51.6" customHeight="1" x14ac:dyDescent="0.25">
      <c r="A1252" s="56">
        <v>987</v>
      </c>
      <c r="B1252" s="226"/>
      <c r="C1252" s="144" t="s">
        <v>1470</v>
      </c>
      <c r="D1252" s="57" t="s">
        <v>1471</v>
      </c>
      <c r="E1252" s="144" t="s">
        <v>21</v>
      </c>
      <c r="F1252" s="54">
        <v>912.99</v>
      </c>
      <c r="G1252" s="57">
        <v>0</v>
      </c>
      <c r="H1252" s="54">
        <v>833.34</v>
      </c>
      <c r="I1252" s="54">
        <v>79.650000000000006</v>
      </c>
      <c r="J1252" s="54"/>
      <c r="K1252" s="55">
        <v>44866</v>
      </c>
    </row>
    <row r="1253" spans="1:11" s="51" customFormat="1" ht="28.95" customHeight="1" x14ac:dyDescent="0.3">
      <c r="A1253" s="233" t="s">
        <v>1472</v>
      </c>
      <c r="B1253" s="234"/>
      <c r="C1253" s="234"/>
      <c r="D1253" s="234"/>
      <c r="E1253" s="234"/>
      <c r="F1253" s="122">
        <f>SUM(F1250:F1252)</f>
        <v>3158.79</v>
      </c>
      <c r="G1253" s="57">
        <v>0</v>
      </c>
      <c r="H1253" s="122">
        <f>SUM(H1250:H1252)</f>
        <v>2911.5200000000004</v>
      </c>
      <c r="I1253" s="122">
        <f t="shared" ref="I1253:J1253" si="59">SUM(I1250:I1252)</f>
        <v>247.27</v>
      </c>
      <c r="J1253" s="122">
        <f t="shared" si="59"/>
        <v>0</v>
      </c>
      <c r="K1253" s="123"/>
    </row>
    <row r="1254" spans="1:11" s="51" customFormat="1" ht="51.6" customHeight="1" x14ac:dyDescent="0.25">
      <c r="A1254" s="56">
        <v>988</v>
      </c>
      <c r="B1254" s="226" t="s">
        <v>1465</v>
      </c>
      <c r="C1254" s="144" t="s">
        <v>1473</v>
      </c>
      <c r="D1254" s="143" t="s">
        <v>1474</v>
      </c>
      <c r="E1254" s="144" t="s">
        <v>21</v>
      </c>
      <c r="F1254" s="54">
        <v>1973.52</v>
      </c>
      <c r="G1254" s="57">
        <v>0</v>
      </c>
      <c r="H1254" s="57">
        <v>0</v>
      </c>
      <c r="I1254" s="54">
        <v>1805.9</v>
      </c>
      <c r="J1254" s="54">
        <v>167.62</v>
      </c>
      <c r="K1254" s="55">
        <v>45231</v>
      </c>
    </row>
    <row r="1255" spans="1:11" s="51" customFormat="1" ht="48.6" customHeight="1" x14ac:dyDescent="0.25">
      <c r="A1255" s="56">
        <v>989</v>
      </c>
      <c r="B1255" s="226"/>
      <c r="C1255" s="144" t="s">
        <v>1475</v>
      </c>
      <c r="D1255" s="143" t="s">
        <v>1476</v>
      </c>
      <c r="E1255" s="144" t="s">
        <v>21</v>
      </c>
      <c r="F1255" s="54">
        <v>272.27999999999997</v>
      </c>
      <c r="G1255" s="57">
        <v>0</v>
      </c>
      <c r="H1255" s="57">
        <v>0</v>
      </c>
      <c r="I1255" s="54">
        <v>272.27999999999997</v>
      </c>
      <c r="J1255" s="57"/>
      <c r="K1255" s="55">
        <v>45261</v>
      </c>
    </row>
    <row r="1256" spans="1:11" s="51" customFormat="1" ht="49.8" customHeight="1" x14ac:dyDescent="0.25">
      <c r="A1256" s="56">
        <v>990</v>
      </c>
      <c r="B1256" s="226"/>
      <c r="C1256" s="144" t="s">
        <v>1477</v>
      </c>
      <c r="D1256" s="57" t="s">
        <v>1478</v>
      </c>
      <c r="E1256" s="144" t="s">
        <v>21</v>
      </c>
      <c r="F1256" s="54">
        <v>912.99</v>
      </c>
      <c r="G1256" s="57">
        <v>0</v>
      </c>
      <c r="H1256" s="57">
        <v>0</v>
      </c>
      <c r="I1256" s="54">
        <v>833.34</v>
      </c>
      <c r="J1256" s="54">
        <v>79.650000000000006</v>
      </c>
      <c r="K1256" s="55">
        <v>45231</v>
      </c>
    </row>
    <row r="1257" spans="1:11" s="51" customFormat="1" ht="30" customHeight="1" x14ac:dyDescent="0.3">
      <c r="A1257" s="233" t="s">
        <v>1479</v>
      </c>
      <c r="B1257" s="234"/>
      <c r="C1257" s="234"/>
      <c r="D1257" s="234"/>
      <c r="E1257" s="234"/>
      <c r="F1257" s="122">
        <f>SUM(F1254:F1256)</f>
        <v>3158.79</v>
      </c>
      <c r="G1257" s="57">
        <v>0</v>
      </c>
      <c r="H1257" s="57">
        <v>0</v>
      </c>
      <c r="I1257" s="122">
        <f t="shared" ref="I1257:J1257" si="60">SUM(I1254:I1256)</f>
        <v>2911.5200000000004</v>
      </c>
      <c r="J1257" s="122">
        <f t="shared" si="60"/>
        <v>247.27</v>
      </c>
      <c r="K1257" s="123"/>
    </row>
    <row r="1258" spans="1:11" s="51" customFormat="1" ht="54" customHeight="1" x14ac:dyDescent="0.25">
      <c r="A1258" s="56">
        <v>991</v>
      </c>
      <c r="B1258" s="57" t="s">
        <v>1480</v>
      </c>
      <c r="C1258" s="54" t="s">
        <v>1481</v>
      </c>
      <c r="D1258" s="57" t="s">
        <v>1482</v>
      </c>
      <c r="E1258" s="54" t="s">
        <v>12</v>
      </c>
      <c r="F1258" s="57">
        <v>2238.7399999999998</v>
      </c>
      <c r="G1258" s="57">
        <v>2238.7399999999998</v>
      </c>
      <c r="H1258" s="57">
        <v>0</v>
      </c>
      <c r="I1258" s="57">
        <v>0</v>
      </c>
      <c r="J1258" s="57">
        <v>0</v>
      </c>
      <c r="K1258" s="58">
        <v>44621</v>
      </c>
    </row>
    <row r="1259" spans="1:11" s="51" customFormat="1" ht="22.2" customHeight="1" x14ac:dyDescent="0.3">
      <c r="A1259" s="233" t="s">
        <v>1483</v>
      </c>
      <c r="B1259" s="234"/>
      <c r="C1259" s="234"/>
      <c r="D1259" s="234"/>
      <c r="E1259" s="234"/>
      <c r="F1259" s="122">
        <f>SUM(F1258)</f>
        <v>2238.7399999999998</v>
      </c>
      <c r="G1259" s="122">
        <f t="shared" ref="G1259:J1259" si="61">SUM(G1258)</f>
        <v>2238.7399999999998</v>
      </c>
      <c r="H1259" s="122">
        <f t="shared" si="61"/>
        <v>0</v>
      </c>
      <c r="I1259" s="122">
        <f t="shared" si="61"/>
        <v>0</v>
      </c>
      <c r="J1259" s="122">
        <f t="shared" si="61"/>
        <v>0</v>
      </c>
      <c r="K1259" s="124"/>
    </row>
    <row r="1260" spans="1:11" s="51" customFormat="1" ht="38.4" customHeight="1" x14ac:dyDescent="0.25">
      <c r="A1260" s="56">
        <v>992</v>
      </c>
      <c r="B1260" s="226" t="s">
        <v>1484</v>
      </c>
      <c r="C1260" s="144" t="s">
        <v>1485</v>
      </c>
      <c r="D1260" s="18" t="s">
        <v>1486</v>
      </c>
      <c r="E1260" s="19" t="s">
        <v>1487</v>
      </c>
      <c r="F1260" s="20">
        <f>93879/1000</f>
        <v>93.879000000000005</v>
      </c>
      <c r="G1260" s="20">
        <f>93879/1000</f>
        <v>93.879000000000005</v>
      </c>
      <c r="H1260" s="144">
        <v>0</v>
      </c>
      <c r="I1260" s="144">
        <v>0</v>
      </c>
      <c r="J1260" s="144">
        <v>0</v>
      </c>
      <c r="K1260" s="77">
        <v>44652</v>
      </c>
    </row>
    <row r="1261" spans="1:11" s="51" customFormat="1" ht="46.2" customHeight="1" x14ac:dyDescent="0.25">
      <c r="A1261" s="56">
        <v>993</v>
      </c>
      <c r="B1261" s="226"/>
      <c r="C1261" s="144" t="s">
        <v>1488</v>
      </c>
      <c r="D1261" s="18" t="s">
        <v>91</v>
      </c>
      <c r="E1261" s="19" t="s">
        <v>1487</v>
      </c>
      <c r="F1261" s="20">
        <f>120258.6/1000</f>
        <v>120.2586</v>
      </c>
      <c r="G1261" s="20">
        <f>120258.6/1000</f>
        <v>120.2586</v>
      </c>
      <c r="H1261" s="144">
        <v>0</v>
      </c>
      <c r="I1261" s="144">
        <v>0</v>
      </c>
      <c r="J1261" s="144">
        <v>0</v>
      </c>
      <c r="K1261" s="77">
        <v>44652</v>
      </c>
    </row>
    <row r="1262" spans="1:11" s="51" customFormat="1" ht="93.6" customHeight="1" x14ac:dyDescent="0.25">
      <c r="A1262" s="56">
        <v>994</v>
      </c>
      <c r="B1262" s="226"/>
      <c r="C1262" s="144" t="s">
        <v>1489</v>
      </c>
      <c r="D1262" s="21" t="s">
        <v>1490</v>
      </c>
      <c r="E1262" s="19" t="s">
        <v>1487</v>
      </c>
      <c r="F1262" s="20">
        <f>136000.2/1000</f>
        <v>136.00020000000001</v>
      </c>
      <c r="G1262" s="20">
        <f>136000.2/1000</f>
        <v>136.00020000000001</v>
      </c>
      <c r="H1262" s="144">
        <v>0</v>
      </c>
      <c r="I1262" s="144">
        <v>0</v>
      </c>
      <c r="J1262" s="144">
        <v>0</v>
      </c>
      <c r="K1262" s="77">
        <v>44621</v>
      </c>
    </row>
    <row r="1263" spans="1:11" s="51" customFormat="1" ht="39.6" x14ac:dyDescent="0.25">
      <c r="A1263" s="56">
        <v>995</v>
      </c>
      <c r="B1263" s="226"/>
      <c r="C1263" s="144" t="s">
        <v>1491</v>
      </c>
      <c r="D1263" s="21" t="s">
        <v>1492</v>
      </c>
      <c r="E1263" s="19" t="s">
        <v>1487</v>
      </c>
      <c r="F1263" s="20">
        <f>472656.62/1000</f>
        <v>472.65661999999998</v>
      </c>
      <c r="G1263" s="20">
        <f>472656.62/1000</f>
        <v>472.65661999999998</v>
      </c>
      <c r="H1263" s="144">
        <v>0</v>
      </c>
      <c r="I1263" s="144">
        <v>0</v>
      </c>
      <c r="J1263" s="144">
        <v>0</v>
      </c>
      <c r="K1263" s="77">
        <v>44713</v>
      </c>
    </row>
    <row r="1264" spans="1:11" s="51" customFormat="1" ht="84" customHeight="1" x14ac:dyDescent="0.25">
      <c r="A1264" s="56">
        <v>996</v>
      </c>
      <c r="B1264" s="226"/>
      <c r="C1264" s="144" t="s">
        <v>1493</v>
      </c>
      <c r="D1264" s="21" t="s">
        <v>1494</v>
      </c>
      <c r="E1264" s="19" t="s">
        <v>1487</v>
      </c>
      <c r="F1264" s="20">
        <f>579200/1000</f>
        <v>579.20000000000005</v>
      </c>
      <c r="G1264" s="20">
        <f>579200/1000</f>
        <v>579.20000000000005</v>
      </c>
      <c r="H1264" s="144">
        <v>0</v>
      </c>
      <c r="I1264" s="144">
        <v>0</v>
      </c>
      <c r="J1264" s="144">
        <v>0</v>
      </c>
      <c r="K1264" s="77">
        <v>44652</v>
      </c>
    </row>
    <row r="1265" spans="1:11" s="51" customFormat="1" ht="75" customHeight="1" x14ac:dyDescent="0.25">
      <c r="A1265" s="56">
        <v>997</v>
      </c>
      <c r="B1265" s="226"/>
      <c r="C1265" s="144" t="s">
        <v>1495</v>
      </c>
      <c r="D1265" s="21" t="s">
        <v>1496</v>
      </c>
      <c r="E1265" s="19" t="s">
        <v>1487</v>
      </c>
      <c r="F1265" s="20">
        <f>654999.67/1000</f>
        <v>654.99967000000004</v>
      </c>
      <c r="G1265" s="20">
        <f>654999.67/1000</f>
        <v>654.99967000000004</v>
      </c>
      <c r="H1265" s="144">
        <v>0</v>
      </c>
      <c r="I1265" s="144">
        <v>0</v>
      </c>
      <c r="J1265" s="144">
        <v>0</v>
      </c>
      <c r="K1265" s="77">
        <v>44682</v>
      </c>
    </row>
    <row r="1266" spans="1:11" s="51" customFormat="1" ht="26.4" x14ac:dyDescent="0.25">
      <c r="A1266" s="56">
        <v>998</v>
      </c>
      <c r="B1266" s="226"/>
      <c r="C1266" s="144" t="s">
        <v>1497</v>
      </c>
      <c r="D1266" s="21" t="s">
        <v>1486</v>
      </c>
      <c r="E1266" s="19" t="s">
        <v>1487</v>
      </c>
      <c r="F1266" s="20">
        <f>723996/1000</f>
        <v>723.99599999999998</v>
      </c>
      <c r="G1266" s="20">
        <f>723996/1000</f>
        <v>723.99599999999998</v>
      </c>
      <c r="H1266" s="144">
        <v>0</v>
      </c>
      <c r="I1266" s="144">
        <v>0</v>
      </c>
      <c r="J1266" s="144">
        <v>0</v>
      </c>
      <c r="K1266" s="35">
        <v>44743</v>
      </c>
    </row>
    <row r="1267" spans="1:11" s="51" customFormat="1" ht="95.4" customHeight="1" x14ac:dyDescent="0.25">
      <c r="A1267" s="56">
        <v>999</v>
      </c>
      <c r="B1267" s="226"/>
      <c r="C1267" s="144" t="s">
        <v>1498</v>
      </c>
      <c r="D1267" s="21" t="s">
        <v>1499</v>
      </c>
      <c r="E1267" s="19" t="s">
        <v>1487</v>
      </c>
      <c r="F1267" s="20">
        <f>8894683/1000</f>
        <v>8894.6830000000009</v>
      </c>
      <c r="G1267" s="20">
        <f>8894683/1000</f>
        <v>8894.6830000000009</v>
      </c>
      <c r="H1267" s="144">
        <v>0</v>
      </c>
      <c r="I1267" s="144">
        <v>0</v>
      </c>
      <c r="J1267" s="144">
        <v>0</v>
      </c>
      <c r="K1267" s="77">
        <v>44652</v>
      </c>
    </row>
    <row r="1268" spans="1:11" s="51" customFormat="1" ht="84.6" customHeight="1" x14ac:dyDescent="0.25">
      <c r="A1268" s="56">
        <v>1000</v>
      </c>
      <c r="B1268" s="226"/>
      <c r="C1268" s="144" t="s">
        <v>1500</v>
      </c>
      <c r="D1268" s="21" t="s">
        <v>1501</v>
      </c>
      <c r="E1268" s="19" t="s">
        <v>1487</v>
      </c>
      <c r="F1268" s="20">
        <f>142195.89/1000</f>
        <v>142.19589000000002</v>
      </c>
      <c r="G1268" s="20">
        <f>142195.89/1000</f>
        <v>142.19589000000002</v>
      </c>
      <c r="H1268" s="144">
        <v>0</v>
      </c>
      <c r="I1268" s="144">
        <v>0</v>
      </c>
      <c r="J1268" s="144">
        <v>0</v>
      </c>
      <c r="K1268" s="35">
        <v>44562</v>
      </c>
    </row>
    <row r="1269" spans="1:11" s="51" customFormat="1" ht="38.4" customHeight="1" x14ac:dyDescent="0.25">
      <c r="A1269" s="56">
        <v>1001</v>
      </c>
      <c r="B1269" s="226"/>
      <c r="C1269" s="144" t="s">
        <v>1502</v>
      </c>
      <c r="D1269" s="21" t="s">
        <v>1486</v>
      </c>
      <c r="E1269" s="19" t="s">
        <v>1487</v>
      </c>
      <c r="F1269" s="20">
        <f>450000/1000</f>
        <v>450</v>
      </c>
      <c r="G1269" s="20">
        <f>450000/1000</f>
        <v>450</v>
      </c>
      <c r="H1269" s="144">
        <v>0</v>
      </c>
      <c r="I1269" s="144">
        <v>0</v>
      </c>
      <c r="J1269" s="144">
        <v>0</v>
      </c>
      <c r="K1269" s="35">
        <v>44562</v>
      </c>
    </row>
    <row r="1270" spans="1:11" s="51" customFormat="1" ht="82.2" customHeight="1" x14ac:dyDescent="0.25">
      <c r="A1270" s="56">
        <v>1002</v>
      </c>
      <c r="B1270" s="226"/>
      <c r="C1270" s="144" t="s">
        <v>1503</v>
      </c>
      <c r="D1270" s="21" t="s">
        <v>1504</v>
      </c>
      <c r="E1270" s="19" t="s">
        <v>1487</v>
      </c>
      <c r="F1270" s="20">
        <f>1200000/1000</f>
        <v>1200</v>
      </c>
      <c r="G1270" s="20">
        <f>1200000/1000</f>
        <v>1200</v>
      </c>
      <c r="H1270" s="144">
        <v>0</v>
      </c>
      <c r="I1270" s="144">
        <v>0</v>
      </c>
      <c r="J1270" s="144">
        <v>0</v>
      </c>
      <c r="K1270" s="35">
        <v>44562</v>
      </c>
    </row>
    <row r="1271" spans="1:11" s="51" customFormat="1" ht="43.2" customHeight="1" x14ac:dyDescent="0.25">
      <c r="A1271" s="56">
        <v>1003</v>
      </c>
      <c r="B1271" s="226"/>
      <c r="C1271" s="144" t="s">
        <v>1505</v>
      </c>
      <c r="D1271" s="21" t="s">
        <v>1383</v>
      </c>
      <c r="E1271" s="19" t="s">
        <v>1487</v>
      </c>
      <c r="F1271" s="20">
        <f>304636.97/1000</f>
        <v>304.63696999999996</v>
      </c>
      <c r="G1271" s="20">
        <f>304636.97/1000</f>
        <v>304.63696999999996</v>
      </c>
      <c r="H1271" s="144">
        <v>0</v>
      </c>
      <c r="I1271" s="144">
        <v>0</v>
      </c>
      <c r="J1271" s="144">
        <v>0</v>
      </c>
      <c r="K1271" s="35">
        <v>44562</v>
      </c>
    </row>
    <row r="1272" spans="1:11" s="51" customFormat="1" ht="40.799999999999997" customHeight="1" x14ac:dyDescent="0.25">
      <c r="A1272" s="56">
        <v>1004</v>
      </c>
      <c r="B1272" s="226"/>
      <c r="C1272" s="144" t="s">
        <v>1506</v>
      </c>
      <c r="D1272" s="21" t="s">
        <v>1383</v>
      </c>
      <c r="E1272" s="19" t="s">
        <v>1487</v>
      </c>
      <c r="F1272" s="20">
        <f>345927.95/1000</f>
        <v>345.92795000000001</v>
      </c>
      <c r="G1272" s="20">
        <f>345927.95/1000</f>
        <v>345.92795000000001</v>
      </c>
      <c r="H1272" s="144">
        <v>0</v>
      </c>
      <c r="I1272" s="144">
        <v>0</v>
      </c>
      <c r="J1272" s="144">
        <v>0</v>
      </c>
      <c r="K1272" s="35">
        <v>44562</v>
      </c>
    </row>
    <row r="1273" spans="1:11" s="51" customFormat="1" ht="79.8" customHeight="1" x14ac:dyDescent="0.25">
      <c r="A1273" s="56">
        <v>1005</v>
      </c>
      <c r="B1273" s="226"/>
      <c r="C1273" s="144" t="s">
        <v>1507</v>
      </c>
      <c r="D1273" s="21" t="s">
        <v>1508</v>
      </c>
      <c r="E1273" s="19" t="s">
        <v>1487</v>
      </c>
      <c r="F1273" s="20">
        <f>568880.04/1000</f>
        <v>568.88004000000001</v>
      </c>
      <c r="G1273" s="20">
        <f>568880.04/1000</f>
        <v>568.88004000000001</v>
      </c>
      <c r="H1273" s="144">
        <v>0</v>
      </c>
      <c r="I1273" s="144">
        <v>0</v>
      </c>
      <c r="J1273" s="144">
        <v>0</v>
      </c>
      <c r="K1273" s="35">
        <v>44562</v>
      </c>
    </row>
    <row r="1274" spans="1:11" s="51" customFormat="1" ht="82.8" customHeight="1" x14ac:dyDescent="0.25">
      <c r="A1274" s="56">
        <v>1006</v>
      </c>
      <c r="B1274" s="226"/>
      <c r="C1274" s="144" t="s">
        <v>1509</v>
      </c>
      <c r="D1274" s="21" t="s">
        <v>1501</v>
      </c>
      <c r="E1274" s="19" t="s">
        <v>1487</v>
      </c>
      <c r="F1274" s="20">
        <f>655181.72/1000</f>
        <v>655.18171999999993</v>
      </c>
      <c r="G1274" s="20">
        <f>655181.72/1000</f>
        <v>655.18171999999993</v>
      </c>
      <c r="H1274" s="144">
        <v>0</v>
      </c>
      <c r="I1274" s="144">
        <v>0</v>
      </c>
      <c r="J1274" s="144">
        <v>0</v>
      </c>
      <c r="K1274" s="35">
        <v>44562</v>
      </c>
    </row>
    <row r="1275" spans="1:11" s="51" customFormat="1" ht="69" customHeight="1" x14ac:dyDescent="0.25">
      <c r="A1275" s="56">
        <v>1007</v>
      </c>
      <c r="B1275" s="226"/>
      <c r="C1275" s="144" t="s">
        <v>1510</v>
      </c>
      <c r="D1275" s="21" t="s">
        <v>1511</v>
      </c>
      <c r="E1275" s="19" t="s">
        <v>1487</v>
      </c>
      <c r="F1275" s="20">
        <f>158133.23/1000</f>
        <v>158.13323</v>
      </c>
      <c r="G1275" s="20">
        <f>158133.23/1000</f>
        <v>158.13323</v>
      </c>
      <c r="H1275" s="144">
        <v>0</v>
      </c>
      <c r="I1275" s="144">
        <v>0</v>
      </c>
      <c r="J1275" s="144">
        <v>0</v>
      </c>
      <c r="K1275" s="35">
        <v>44562</v>
      </c>
    </row>
    <row r="1276" spans="1:11" s="51" customFormat="1" ht="67.8" customHeight="1" x14ac:dyDescent="0.25">
      <c r="A1276" s="56">
        <v>1008</v>
      </c>
      <c r="B1276" s="226"/>
      <c r="C1276" s="144" t="s">
        <v>1512</v>
      </c>
      <c r="D1276" s="21" t="s">
        <v>491</v>
      </c>
      <c r="E1276" s="19" t="s">
        <v>1487</v>
      </c>
      <c r="F1276" s="20">
        <f>69049.94/1000</f>
        <v>69.049940000000007</v>
      </c>
      <c r="G1276" s="20">
        <f>69049.94/1000</f>
        <v>69.049940000000007</v>
      </c>
      <c r="H1276" s="144">
        <v>0</v>
      </c>
      <c r="I1276" s="144">
        <v>0</v>
      </c>
      <c r="J1276" s="144">
        <v>0</v>
      </c>
      <c r="K1276" s="35">
        <v>44562</v>
      </c>
    </row>
    <row r="1277" spans="1:11" s="51" customFormat="1" ht="26.4" x14ac:dyDescent="0.25">
      <c r="A1277" s="56">
        <v>1009</v>
      </c>
      <c r="B1277" s="226"/>
      <c r="C1277" s="144" t="s">
        <v>1513</v>
      </c>
      <c r="D1277" s="145" t="s">
        <v>49</v>
      </c>
      <c r="E1277" s="19" t="s">
        <v>1487</v>
      </c>
      <c r="F1277" s="144">
        <f>80594.98/1000</f>
        <v>80.594979999999993</v>
      </c>
      <c r="G1277" s="144">
        <v>0</v>
      </c>
      <c r="H1277" s="144">
        <f>80594.98/1000</f>
        <v>80.594979999999993</v>
      </c>
      <c r="I1277" s="144">
        <v>0</v>
      </c>
      <c r="J1277" s="144">
        <v>0</v>
      </c>
      <c r="K1277" s="77">
        <v>44866</v>
      </c>
    </row>
    <row r="1278" spans="1:11" s="51" customFormat="1" ht="84" customHeight="1" x14ac:dyDescent="0.25">
      <c r="A1278" s="56">
        <v>1010</v>
      </c>
      <c r="B1278" s="226"/>
      <c r="C1278" s="144" t="s">
        <v>1514</v>
      </c>
      <c r="D1278" s="21" t="s">
        <v>1504</v>
      </c>
      <c r="E1278" s="19" t="s">
        <v>1487</v>
      </c>
      <c r="F1278" s="20">
        <f>142195.89/1000</f>
        <v>142.19589000000002</v>
      </c>
      <c r="G1278" s="144">
        <v>0</v>
      </c>
      <c r="H1278" s="20">
        <f>142195.89/1000</f>
        <v>142.19589000000002</v>
      </c>
      <c r="I1278" s="144">
        <v>0</v>
      </c>
      <c r="J1278" s="144">
        <v>0</v>
      </c>
      <c r="K1278" s="77">
        <v>44866</v>
      </c>
    </row>
    <row r="1279" spans="1:11" s="51" customFormat="1" ht="39.6" customHeight="1" x14ac:dyDescent="0.25">
      <c r="A1279" s="56">
        <v>1011</v>
      </c>
      <c r="B1279" s="226"/>
      <c r="C1279" s="144" t="s">
        <v>1515</v>
      </c>
      <c r="D1279" s="21" t="s">
        <v>1516</v>
      </c>
      <c r="E1279" s="19" t="s">
        <v>1487</v>
      </c>
      <c r="F1279" s="20">
        <f>176380/1000</f>
        <v>176.38</v>
      </c>
      <c r="G1279" s="144">
        <v>0</v>
      </c>
      <c r="H1279" s="20">
        <f>176380/1000</f>
        <v>176.38</v>
      </c>
      <c r="I1279" s="144">
        <v>0</v>
      </c>
      <c r="J1279" s="144">
        <v>0</v>
      </c>
      <c r="K1279" s="77">
        <v>44866</v>
      </c>
    </row>
    <row r="1280" spans="1:11" s="51" customFormat="1" ht="40.200000000000003" customHeight="1" x14ac:dyDescent="0.25">
      <c r="A1280" s="56">
        <v>1012</v>
      </c>
      <c r="B1280" s="226"/>
      <c r="C1280" s="144" t="s">
        <v>1517</v>
      </c>
      <c r="D1280" s="145" t="s">
        <v>1518</v>
      </c>
      <c r="E1280" s="19" t="s">
        <v>1487</v>
      </c>
      <c r="F1280" s="144">
        <f>251444.16/1000</f>
        <v>251.44416000000001</v>
      </c>
      <c r="G1280" s="144">
        <v>0</v>
      </c>
      <c r="H1280" s="144">
        <f>251444.16/1000</f>
        <v>251.44416000000001</v>
      </c>
      <c r="I1280" s="144">
        <v>0</v>
      </c>
      <c r="J1280" s="144">
        <v>0</v>
      </c>
      <c r="K1280" s="77">
        <v>44866</v>
      </c>
    </row>
    <row r="1281" spans="1:11" s="51" customFormat="1" ht="84" customHeight="1" x14ac:dyDescent="0.25">
      <c r="A1281" s="56">
        <v>1013</v>
      </c>
      <c r="B1281" s="226"/>
      <c r="C1281" s="144" t="s">
        <v>1519</v>
      </c>
      <c r="D1281" s="21" t="s">
        <v>1508</v>
      </c>
      <c r="E1281" s="19" t="s">
        <v>1487</v>
      </c>
      <c r="F1281" s="20">
        <v>530.29999999999995</v>
      </c>
      <c r="G1281" s="144">
        <v>0</v>
      </c>
      <c r="H1281" s="144">
        <f>F1281</f>
        <v>530.29999999999995</v>
      </c>
      <c r="I1281" s="144">
        <v>0</v>
      </c>
      <c r="J1281" s="144">
        <v>0</v>
      </c>
      <c r="K1281" s="77">
        <v>44866</v>
      </c>
    </row>
    <row r="1282" spans="1:11" s="51" customFormat="1" ht="37.799999999999997" customHeight="1" x14ac:dyDescent="0.25">
      <c r="A1282" s="56">
        <v>1014</v>
      </c>
      <c r="B1282" s="226"/>
      <c r="C1282" s="144" t="s">
        <v>1520</v>
      </c>
      <c r="D1282" s="145" t="s">
        <v>1486</v>
      </c>
      <c r="E1282" s="19" t="s">
        <v>1487</v>
      </c>
      <c r="F1282" s="20">
        <v>1174</v>
      </c>
      <c r="G1282" s="144">
        <v>0</v>
      </c>
      <c r="H1282" s="144">
        <f t="shared" ref="H1282:H1289" si="62">F1282</f>
        <v>1174</v>
      </c>
      <c r="I1282" s="144">
        <v>0</v>
      </c>
      <c r="J1282" s="144">
        <v>0</v>
      </c>
      <c r="K1282" s="77">
        <v>44866</v>
      </c>
    </row>
    <row r="1283" spans="1:11" s="51" customFormat="1" ht="37.799999999999997" customHeight="1" x14ac:dyDescent="0.25">
      <c r="A1283" s="56">
        <v>1015</v>
      </c>
      <c r="B1283" s="226"/>
      <c r="C1283" s="144" t="s">
        <v>1521</v>
      </c>
      <c r="D1283" s="21" t="s">
        <v>1522</v>
      </c>
      <c r="E1283" s="19" t="s">
        <v>1487</v>
      </c>
      <c r="F1283" s="20">
        <v>3780.8</v>
      </c>
      <c r="G1283" s="144">
        <v>0</v>
      </c>
      <c r="H1283" s="144">
        <f t="shared" si="62"/>
        <v>3780.8</v>
      </c>
      <c r="I1283" s="144">
        <v>0</v>
      </c>
      <c r="J1283" s="144">
        <v>0</v>
      </c>
      <c r="K1283" s="77">
        <v>44866</v>
      </c>
    </row>
    <row r="1284" spans="1:11" s="51" customFormat="1" ht="74.400000000000006" customHeight="1" x14ac:dyDescent="0.25">
      <c r="A1284" s="56">
        <v>1016</v>
      </c>
      <c r="B1284" s="226"/>
      <c r="C1284" s="144" t="s">
        <v>1523</v>
      </c>
      <c r="D1284" s="21" t="s">
        <v>831</v>
      </c>
      <c r="E1284" s="19" t="s">
        <v>1487</v>
      </c>
      <c r="F1284" s="20">
        <v>1406.9</v>
      </c>
      <c r="G1284" s="144">
        <v>0</v>
      </c>
      <c r="H1284" s="144">
        <f t="shared" si="62"/>
        <v>1406.9</v>
      </c>
      <c r="I1284" s="144">
        <v>0</v>
      </c>
      <c r="J1284" s="144">
        <v>0</v>
      </c>
      <c r="K1284" s="77">
        <v>44866</v>
      </c>
    </row>
    <row r="1285" spans="1:11" s="51" customFormat="1" ht="74.400000000000006" customHeight="1" x14ac:dyDescent="0.25">
      <c r="A1285" s="56">
        <v>1017</v>
      </c>
      <c r="B1285" s="226"/>
      <c r="C1285" s="144" t="s">
        <v>1524</v>
      </c>
      <c r="D1285" s="21" t="s">
        <v>1504</v>
      </c>
      <c r="E1285" s="19" t="s">
        <v>1487</v>
      </c>
      <c r="F1285" s="20">
        <v>1713</v>
      </c>
      <c r="G1285" s="144">
        <v>0</v>
      </c>
      <c r="H1285" s="144">
        <f t="shared" si="62"/>
        <v>1713</v>
      </c>
      <c r="I1285" s="144">
        <v>0</v>
      </c>
      <c r="J1285" s="144">
        <v>0</v>
      </c>
      <c r="K1285" s="77">
        <v>44866</v>
      </c>
    </row>
    <row r="1286" spans="1:11" s="51" customFormat="1" ht="116.4" customHeight="1" x14ac:dyDescent="0.25">
      <c r="A1286" s="56">
        <v>1018</v>
      </c>
      <c r="B1286" s="226"/>
      <c r="C1286" s="144" t="s">
        <v>1525</v>
      </c>
      <c r="D1286" s="145" t="s">
        <v>1526</v>
      </c>
      <c r="E1286" s="19" t="s">
        <v>1487</v>
      </c>
      <c r="F1286" s="20">
        <v>3541.3</v>
      </c>
      <c r="G1286" s="144">
        <v>0</v>
      </c>
      <c r="H1286" s="144">
        <f t="shared" si="62"/>
        <v>3541.3</v>
      </c>
      <c r="I1286" s="144">
        <v>0</v>
      </c>
      <c r="J1286" s="144">
        <v>0</v>
      </c>
      <c r="K1286" s="77">
        <v>44866</v>
      </c>
    </row>
    <row r="1287" spans="1:11" s="51" customFormat="1" ht="79.8" customHeight="1" x14ac:dyDescent="0.25">
      <c r="A1287" s="56">
        <v>1019</v>
      </c>
      <c r="B1287" s="226"/>
      <c r="C1287" s="144" t="s">
        <v>1527</v>
      </c>
      <c r="D1287" s="21" t="s">
        <v>1528</v>
      </c>
      <c r="E1287" s="19" t="s">
        <v>1487</v>
      </c>
      <c r="F1287" s="20">
        <v>6311.8</v>
      </c>
      <c r="G1287" s="144">
        <v>0</v>
      </c>
      <c r="H1287" s="144">
        <f t="shared" si="62"/>
        <v>6311.8</v>
      </c>
      <c r="I1287" s="144">
        <v>0</v>
      </c>
      <c r="J1287" s="144">
        <v>0</v>
      </c>
      <c r="K1287" s="77">
        <v>44835</v>
      </c>
    </row>
    <row r="1288" spans="1:11" s="51" customFormat="1" ht="93.6" customHeight="1" x14ac:dyDescent="0.25">
      <c r="A1288" s="56">
        <v>1020</v>
      </c>
      <c r="B1288" s="226"/>
      <c r="C1288" s="144" t="s">
        <v>1529</v>
      </c>
      <c r="D1288" s="21" t="s">
        <v>1530</v>
      </c>
      <c r="E1288" s="19" t="s">
        <v>1487</v>
      </c>
      <c r="F1288" s="20">
        <v>11604</v>
      </c>
      <c r="G1288" s="144">
        <v>0</v>
      </c>
      <c r="H1288" s="144">
        <f t="shared" si="62"/>
        <v>11604</v>
      </c>
      <c r="I1288" s="144">
        <v>0</v>
      </c>
      <c r="J1288" s="144">
        <v>0</v>
      </c>
      <c r="K1288" s="77">
        <v>44866</v>
      </c>
    </row>
    <row r="1289" spans="1:11" s="51" customFormat="1" ht="81.599999999999994" customHeight="1" x14ac:dyDescent="0.25">
      <c r="A1289" s="56">
        <v>1021</v>
      </c>
      <c r="B1289" s="226"/>
      <c r="C1289" s="144" t="s">
        <v>1531</v>
      </c>
      <c r="D1289" s="21" t="s">
        <v>1532</v>
      </c>
      <c r="E1289" s="19" t="s">
        <v>1487</v>
      </c>
      <c r="F1289" s="20">
        <v>27864.5</v>
      </c>
      <c r="G1289" s="144">
        <v>0</v>
      </c>
      <c r="H1289" s="144">
        <f t="shared" si="62"/>
        <v>27864.5</v>
      </c>
      <c r="I1289" s="144">
        <v>0</v>
      </c>
      <c r="J1289" s="144">
        <v>0</v>
      </c>
      <c r="K1289" s="77">
        <v>44713</v>
      </c>
    </row>
    <row r="1290" spans="1:11" s="51" customFormat="1" ht="17.399999999999999" customHeight="1" x14ac:dyDescent="0.3">
      <c r="A1290" s="232" t="s">
        <v>1533</v>
      </c>
      <c r="B1290" s="234"/>
      <c r="C1290" s="234"/>
      <c r="D1290" s="234"/>
      <c r="E1290" s="234"/>
      <c r="F1290" s="59">
        <f>SUM(F1260:F1289)</f>
        <v>74146.893860000011</v>
      </c>
      <c r="G1290" s="59">
        <f t="shared" ref="G1290:J1290" si="63">SUM(G1260:G1289)</f>
        <v>15569.678830000001</v>
      </c>
      <c r="H1290" s="59">
        <f t="shared" si="63"/>
        <v>58577.215029999999</v>
      </c>
      <c r="I1290" s="59">
        <f t="shared" si="63"/>
        <v>0</v>
      </c>
      <c r="J1290" s="59">
        <f t="shared" si="63"/>
        <v>0</v>
      </c>
      <c r="K1290" s="60"/>
    </row>
    <row r="1291" spans="1:11" s="51" customFormat="1" ht="26.4" x14ac:dyDescent="0.25">
      <c r="A1291" s="56">
        <v>1022</v>
      </c>
      <c r="B1291" s="236" t="s">
        <v>1484</v>
      </c>
      <c r="C1291" s="144" t="s">
        <v>1534</v>
      </c>
      <c r="D1291" s="145" t="s">
        <v>91</v>
      </c>
      <c r="E1291" s="19" t="s">
        <v>1487</v>
      </c>
      <c r="F1291" s="144">
        <v>120.7</v>
      </c>
      <c r="G1291" s="144">
        <v>0</v>
      </c>
      <c r="H1291" s="144">
        <v>0</v>
      </c>
      <c r="I1291" s="144">
        <v>0</v>
      </c>
      <c r="J1291" s="144">
        <v>0</v>
      </c>
      <c r="K1291" s="77">
        <v>45078</v>
      </c>
    </row>
    <row r="1292" spans="1:11" s="51" customFormat="1" ht="42" customHeight="1" x14ac:dyDescent="0.25">
      <c r="A1292" s="56">
        <v>1023</v>
      </c>
      <c r="B1292" s="236"/>
      <c r="C1292" s="144" t="s">
        <v>1535</v>
      </c>
      <c r="D1292" s="145" t="s">
        <v>1536</v>
      </c>
      <c r="E1292" s="19" t="s">
        <v>1487</v>
      </c>
      <c r="F1292" s="144">
        <v>329.3</v>
      </c>
      <c r="G1292" s="144">
        <v>0</v>
      </c>
      <c r="H1292" s="144">
        <v>0</v>
      </c>
      <c r="I1292" s="144">
        <v>0</v>
      </c>
      <c r="J1292" s="144">
        <v>0</v>
      </c>
      <c r="K1292" s="77">
        <v>45078</v>
      </c>
    </row>
    <row r="1293" spans="1:11" s="51" customFormat="1" ht="49.2" customHeight="1" x14ac:dyDescent="0.25">
      <c r="A1293" s="56">
        <v>1024</v>
      </c>
      <c r="B1293" s="236"/>
      <c r="C1293" s="144" t="s">
        <v>1537</v>
      </c>
      <c r="D1293" s="145" t="s">
        <v>1492</v>
      </c>
      <c r="E1293" s="19" t="s">
        <v>1487</v>
      </c>
      <c r="F1293" s="144">
        <v>565.29999999999995</v>
      </c>
      <c r="G1293" s="144">
        <v>0</v>
      </c>
      <c r="H1293" s="144">
        <v>0</v>
      </c>
      <c r="I1293" s="144">
        <v>0</v>
      </c>
      <c r="J1293" s="144">
        <v>0</v>
      </c>
      <c r="K1293" s="77">
        <v>45047</v>
      </c>
    </row>
    <row r="1294" spans="1:11" s="51" customFormat="1" ht="69.599999999999994" customHeight="1" x14ac:dyDescent="0.25">
      <c r="A1294" s="56">
        <v>1025</v>
      </c>
      <c r="B1294" s="236"/>
      <c r="C1294" s="144" t="s">
        <v>1538</v>
      </c>
      <c r="D1294" s="145" t="s">
        <v>1539</v>
      </c>
      <c r="E1294" s="19" t="s">
        <v>1487</v>
      </c>
      <c r="F1294" s="144">
        <v>579.20000000000005</v>
      </c>
      <c r="G1294" s="144">
        <v>0</v>
      </c>
      <c r="H1294" s="144">
        <v>0</v>
      </c>
      <c r="I1294" s="144">
        <v>0</v>
      </c>
      <c r="J1294" s="144">
        <v>0</v>
      </c>
      <c r="K1294" s="77">
        <v>44986</v>
      </c>
    </row>
    <row r="1295" spans="1:11" s="51" customFormat="1" ht="73.2" customHeight="1" x14ac:dyDescent="0.25">
      <c r="A1295" s="56">
        <v>1026</v>
      </c>
      <c r="B1295" s="236"/>
      <c r="C1295" s="144" t="s">
        <v>1540</v>
      </c>
      <c r="D1295" s="145" t="s">
        <v>1541</v>
      </c>
      <c r="E1295" s="19" t="s">
        <v>1487</v>
      </c>
      <c r="F1295" s="144">
        <v>655</v>
      </c>
      <c r="G1295" s="144">
        <v>0</v>
      </c>
      <c r="H1295" s="144">
        <v>0</v>
      </c>
      <c r="I1295" s="144">
        <v>0</v>
      </c>
      <c r="J1295" s="144">
        <v>0</v>
      </c>
      <c r="K1295" s="77">
        <v>45017</v>
      </c>
    </row>
    <row r="1296" spans="1:11" s="51" customFormat="1" ht="77.400000000000006" customHeight="1" x14ac:dyDescent="0.25">
      <c r="A1296" s="56">
        <v>1027</v>
      </c>
      <c r="B1296" s="236"/>
      <c r="C1296" s="144" t="s">
        <v>1542</v>
      </c>
      <c r="D1296" s="21" t="s">
        <v>1543</v>
      </c>
      <c r="E1296" s="19" t="s">
        <v>1487</v>
      </c>
      <c r="F1296" s="144">
        <v>3224.4</v>
      </c>
      <c r="G1296" s="144">
        <v>0</v>
      </c>
      <c r="H1296" s="144">
        <v>0</v>
      </c>
      <c r="I1296" s="144">
        <v>0</v>
      </c>
      <c r="J1296" s="144">
        <v>0</v>
      </c>
      <c r="K1296" s="77">
        <v>44927</v>
      </c>
    </row>
    <row r="1297" spans="1:11" s="51" customFormat="1" ht="26.4" x14ac:dyDescent="0.25">
      <c r="A1297" s="56">
        <v>1028</v>
      </c>
      <c r="B1297" s="236"/>
      <c r="C1297" s="144" t="s">
        <v>1544</v>
      </c>
      <c r="D1297" s="145" t="s">
        <v>49</v>
      </c>
      <c r="E1297" s="19" t="s">
        <v>1487</v>
      </c>
      <c r="F1297" s="144">
        <v>81.099999999999994</v>
      </c>
      <c r="G1297" s="144">
        <v>0</v>
      </c>
      <c r="H1297" s="144">
        <v>0</v>
      </c>
      <c r="I1297" s="144">
        <f>F1297</f>
        <v>81.099999999999994</v>
      </c>
      <c r="J1297" s="144">
        <v>0</v>
      </c>
      <c r="K1297" s="77">
        <v>45231</v>
      </c>
    </row>
    <row r="1298" spans="1:11" s="51" customFormat="1" ht="86.4" customHeight="1" x14ac:dyDescent="0.25">
      <c r="A1298" s="56">
        <v>1029</v>
      </c>
      <c r="B1298" s="236"/>
      <c r="C1298" s="144" t="s">
        <v>1545</v>
      </c>
      <c r="D1298" s="145" t="s">
        <v>1504</v>
      </c>
      <c r="E1298" s="19" t="s">
        <v>1487</v>
      </c>
      <c r="F1298" s="144">
        <v>143.19999999999999</v>
      </c>
      <c r="G1298" s="144">
        <v>0</v>
      </c>
      <c r="H1298" s="144">
        <v>0</v>
      </c>
      <c r="I1298" s="144">
        <f t="shared" ref="I1298:I1309" si="64">F1298</f>
        <v>143.19999999999999</v>
      </c>
      <c r="J1298" s="144">
        <v>0</v>
      </c>
      <c r="K1298" s="77">
        <v>45231</v>
      </c>
    </row>
    <row r="1299" spans="1:11" s="51" customFormat="1" ht="43.8" customHeight="1" x14ac:dyDescent="0.25">
      <c r="A1299" s="56">
        <v>1030</v>
      </c>
      <c r="B1299" s="236"/>
      <c r="C1299" s="144" t="s">
        <v>1546</v>
      </c>
      <c r="D1299" s="21" t="s">
        <v>1516</v>
      </c>
      <c r="E1299" s="19" t="s">
        <v>1487</v>
      </c>
      <c r="F1299" s="144">
        <v>176.4</v>
      </c>
      <c r="G1299" s="144">
        <v>0</v>
      </c>
      <c r="H1299" s="144">
        <v>0</v>
      </c>
      <c r="I1299" s="144">
        <f t="shared" si="64"/>
        <v>176.4</v>
      </c>
      <c r="J1299" s="144">
        <v>0</v>
      </c>
      <c r="K1299" s="77">
        <v>45231</v>
      </c>
    </row>
    <row r="1300" spans="1:11" s="51" customFormat="1" ht="43.8" customHeight="1" x14ac:dyDescent="0.25">
      <c r="A1300" s="56">
        <v>1031</v>
      </c>
      <c r="B1300" s="236"/>
      <c r="C1300" s="144" t="s">
        <v>1547</v>
      </c>
      <c r="D1300" s="21" t="s">
        <v>1518</v>
      </c>
      <c r="E1300" s="19" t="s">
        <v>1487</v>
      </c>
      <c r="F1300" s="144">
        <v>251.4</v>
      </c>
      <c r="G1300" s="144">
        <v>0</v>
      </c>
      <c r="H1300" s="144">
        <v>0</v>
      </c>
      <c r="I1300" s="144">
        <f t="shared" si="64"/>
        <v>251.4</v>
      </c>
      <c r="J1300" s="144">
        <v>0</v>
      </c>
      <c r="K1300" s="77">
        <v>45231</v>
      </c>
    </row>
    <row r="1301" spans="1:11" s="51" customFormat="1" ht="86.4" customHeight="1" x14ac:dyDescent="0.25">
      <c r="A1301" s="56">
        <v>1032</v>
      </c>
      <c r="B1301" s="236"/>
      <c r="C1301" s="144" t="s">
        <v>1548</v>
      </c>
      <c r="D1301" s="21" t="s">
        <v>1508</v>
      </c>
      <c r="E1301" s="19" t="s">
        <v>1487</v>
      </c>
      <c r="F1301" s="144">
        <v>568.9</v>
      </c>
      <c r="G1301" s="144">
        <v>0</v>
      </c>
      <c r="H1301" s="144">
        <v>0</v>
      </c>
      <c r="I1301" s="144">
        <f t="shared" si="64"/>
        <v>568.9</v>
      </c>
      <c r="J1301" s="144">
        <v>0</v>
      </c>
      <c r="K1301" s="77">
        <v>45231</v>
      </c>
    </row>
    <row r="1302" spans="1:11" s="51" customFormat="1" ht="26.4" x14ac:dyDescent="0.25">
      <c r="A1302" s="56">
        <v>1033</v>
      </c>
      <c r="B1302" s="236"/>
      <c r="C1302" s="144" t="s">
        <v>1549</v>
      </c>
      <c r="D1302" s="21" t="s">
        <v>1486</v>
      </c>
      <c r="E1302" s="19" t="s">
        <v>1487</v>
      </c>
      <c r="F1302" s="144">
        <v>1174</v>
      </c>
      <c r="G1302" s="144">
        <v>0</v>
      </c>
      <c r="H1302" s="144">
        <v>0</v>
      </c>
      <c r="I1302" s="144">
        <f t="shared" si="64"/>
        <v>1174</v>
      </c>
      <c r="J1302" s="144">
        <v>0</v>
      </c>
      <c r="K1302" s="77">
        <v>45231</v>
      </c>
    </row>
    <row r="1303" spans="1:11" s="51" customFormat="1" ht="60.6" customHeight="1" x14ac:dyDescent="0.25">
      <c r="A1303" s="56">
        <v>1034</v>
      </c>
      <c r="B1303" s="236"/>
      <c r="C1303" s="144" t="s">
        <v>1550</v>
      </c>
      <c r="D1303" s="21" t="s">
        <v>831</v>
      </c>
      <c r="E1303" s="19" t="s">
        <v>1487</v>
      </c>
      <c r="F1303" s="144">
        <v>1382.6</v>
      </c>
      <c r="G1303" s="144">
        <v>0</v>
      </c>
      <c r="H1303" s="144">
        <v>0</v>
      </c>
      <c r="I1303" s="144">
        <f t="shared" si="64"/>
        <v>1382.6</v>
      </c>
      <c r="J1303" s="144">
        <v>0</v>
      </c>
      <c r="K1303" s="77">
        <v>45231</v>
      </c>
    </row>
    <row r="1304" spans="1:11" s="51" customFormat="1" ht="97.8" customHeight="1" x14ac:dyDescent="0.25">
      <c r="A1304" s="56">
        <v>1035</v>
      </c>
      <c r="B1304" s="236"/>
      <c r="C1304" s="144" t="s">
        <v>1551</v>
      </c>
      <c r="D1304" s="21" t="s">
        <v>1504</v>
      </c>
      <c r="E1304" s="19" t="s">
        <v>1487</v>
      </c>
      <c r="F1304" s="144">
        <v>1713</v>
      </c>
      <c r="G1304" s="144">
        <v>0</v>
      </c>
      <c r="H1304" s="144">
        <v>0</v>
      </c>
      <c r="I1304" s="144">
        <f t="shared" si="64"/>
        <v>1713</v>
      </c>
      <c r="J1304" s="144">
        <v>0</v>
      </c>
      <c r="K1304" s="77">
        <v>45231</v>
      </c>
    </row>
    <row r="1305" spans="1:11" s="51" customFormat="1" ht="108" customHeight="1" x14ac:dyDescent="0.25">
      <c r="A1305" s="56">
        <v>1036</v>
      </c>
      <c r="B1305" s="236"/>
      <c r="C1305" s="144" t="s">
        <v>1552</v>
      </c>
      <c r="D1305" s="21" t="s">
        <v>1553</v>
      </c>
      <c r="E1305" s="19" t="s">
        <v>1487</v>
      </c>
      <c r="F1305" s="144">
        <v>3541.3</v>
      </c>
      <c r="G1305" s="144">
        <v>0</v>
      </c>
      <c r="H1305" s="144">
        <v>0</v>
      </c>
      <c r="I1305" s="144">
        <f t="shared" si="64"/>
        <v>3541.3</v>
      </c>
      <c r="J1305" s="144">
        <v>0</v>
      </c>
      <c r="K1305" s="77">
        <v>45231</v>
      </c>
    </row>
    <row r="1306" spans="1:11" s="51" customFormat="1" ht="26.4" x14ac:dyDescent="0.25">
      <c r="A1306" s="56">
        <v>1037</v>
      </c>
      <c r="B1306" s="236"/>
      <c r="C1306" s="144" t="s">
        <v>1554</v>
      </c>
      <c r="D1306" s="21" t="s">
        <v>1522</v>
      </c>
      <c r="E1306" s="19" t="s">
        <v>1487</v>
      </c>
      <c r="F1306" s="144">
        <v>3780.7</v>
      </c>
      <c r="G1306" s="144">
        <v>0</v>
      </c>
      <c r="H1306" s="144">
        <v>0</v>
      </c>
      <c r="I1306" s="144">
        <f t="shared" si="64"/>
        <v>3780.7</v>
      </c>
      <c r="J1306" s="144">
        <v>0</v>
      </c>
      <c r="K1306" s="77">
        <v>45231</v>
      </c>
    </row>
    <row r="1307" spans="1:11" s="51" customFormat="1" ht="84" customHeight="1" x14ac:dyDescent="0.25">
      <c r="A1307" s="56">
        <v>1038</v>
      </c>
      <c r="B1307" s="236"/>
      <c r="C1307" s="144" t="s">
        <v>1555</v>
      </c>
      <c r="D1307" s="21" t="s">
        <v>1528</v>
      </c>
      <c r="E1307" s="19" t="s">
        <v>1487</v>
      </c>
      <c r="F1307" s="144">
        <v>6311.8</v>
      </c>
      <c r="G1307" s="144">
        <v>0</v>
      </c>
      <c r="H1307" s="144">
        <v>0</v>
      </c>
      <c r="I1307" s="144">
        <f t="shared" si="64"/>
        <v>6311.8</v>
      </c>
      <c r="J1307" s="144">
        <v>0</v>
      </c>
      <c r="K1307" s="77">
        <v>45231</v>
      </c>
    </row>
    <row r="1308" spans="1:11" s="51" customFormat="1" ht="95.4" customHeight="1" x14ac:dyDescent="0.25">
      <c r="A1308" s="56">
        <v>1039</v>
      </c>
      <c r="B1308" s="236"/>
      <c r="C1308" s="144" t="s">
        <v>1556</v>
      </c>
      <c r="D1308" s="21" t="s">
        <v>1530</v>
      </c>
      <c r="E1308" s="19" t="s">
        <v>1487</v>
      </c>
      <c r="F1308" s="144">
        <v>12043.5</v>
      </c>
      <c r="G1308" s="144">
        <v>0</v>
      </c>
      <c r="H1308" s="144">
        <v>0</v>
      </c>
      <c r="I1308" s="144">
        <f t="shared" si="64"/>
        <v>12043.5</v>
      </c>
      <c r="J1308" s="144">
        <v>0</v>
      </c>
      <c r="K1308" s="77">
        <v>45231</v>
      </c>
    </row>
    <row r="1309" spans="1:11" s="51" customFormat="1" ht="79.8" customHeight="1" x14ac:dyDescent="0.25">
      <c r="A1309" s="56">
        <v>1040</v>
      </c>
      <c r="B1309" s="236"/>
      <c r="C1309" s="144" t="s">
        <v>1557</v>
      </c>
      <c r="D1309" s="21" t="s">
        <v>1532</v>
      </c>
      <c r="E1309" s="19" t="s">
        <v>1487</v>
      </c>
      <c r="F1309" s="144">
        <v>27864.5</v>
      </c>
      <c r="G1309" s="144">
        <v>0</v>
      </c>
      <c r="H1309" s="144">
        <v>0</v>
      </c>
      <c r="I1309" s="144">
        <f t="shared" si="64"/>
        <v>27864.5</v>
      </c>
      <c r="J1309" s="144">
        <v>0</v>
      </c>
      <c r="K1309" s="77">
        <v>45078</v>
      </c>
    </row>
    <row r="1310" spans="1:11" s="51" customFormat="1" ht="29.4" customHeight="1" x14ac:dyDescent="0.3">
      <c r="A1310" s="232" t="s">
        <v>1558</v>
      </c>
      <c r="B1310" s="234"/>
      <c r="C1310" s="234"/>
      <c r="D1310" s="234"/>
      <c r="E1310" s="234"/>
      <c r="F1310" s="59">
        <f>SUM(F1291:F1309)</f>
        <v>64506.3</v>
      </c>
      <c r="G1310" s="59">
        <f t="shared" ref="G1310:J1310" si="65">SUM(G1291:G1309)</f>
        <v>0</v>
      </c>
      <c r="H1310" s="59">
        <f t="shared" si="65"/>
        <v>0</v>
      </c>
      <c r="I1310" s="59">
        <f t="shared" si="65"/>
        <v>59032.4</v>
      </c>
      <c r="J1310" s="59">
        <f t="shared" si="65"/>
        <v>0</v>
      </c>
      <c r="K1310" s="60"/>
    </row>
    <row r="1311" spans="1:11" s="51" customFormat="1" ht="26.4" x14ac:dyDescent="0.25">
      <c r="A1311" s="56">
        <v>1041</v>
      </c>
      <c r="B1311" s="236" t="s">
        <v>1484</v>
      </c>
      <c r="C1311" s="144" t="s">
        <v>1559</v>
      </c>
      <c r="D1311" s="21" t="s">
        <v>91</v>
      </c>
      <c r="E1311" s="19" t="s">
        <v>1487</v>
      </c>
      <c r="F1311" s="144">
        <v>120.7</v>
      </c>
      <c r="G1311" s="144">
        <v>0</v>
      </c>
      <c r="H1311" s="144">
        <v>0</v>
      </c>
      <c r="I1311" s="144">
        <f>F1311</f>
        <v>120.7</v>
      </c>
      <c r="J1311" s="144">
        <v>0</v>
      </c>
      <c r="K1311" s="77">
        <v>45444</v>
      </c>
    </row>
    <row r="1312" spans="1:11" s="51" customFormat="1" ht="42.6" customHeight="1" x14ac:dyDescent="0.25">
      <c r="A1312" s="56">
        <v>1042</v>
      </c>
      <c r="B1312" s="236"/>
      <c r="C1312" s="144" t="s">
        <v>1560</v>
      </c>
      <c r="D1312" s="145" t="s">
        <v>1536</v>
      </c>
      <c r="E1312" s="19" t="s">
        <v>1487</v>
      </c>
      <c r="F1312" s="144">
        <v>329.3</v>
      </c>
      <c r="G1312" s="144">
        <v>0</v>
      </c>
      <c r="H1312" s="144">
        <v>0</v>
      </c>
      <c r="I1312" s="144">
        <f t="shared" ref="I1312:I1316" si="66">F1312</f>
        <v>329.3</v>
      </c>
      <c r="J1312" s="144">
        <v>0</v>
      </c>
      <c r="K1312" s="77">
        <v>45444</v>
      </c>
    </row>
    <row r="1313" spans="1:11" s="51" customFormat="1" ht="39.6" x14ac:dyDescent="0.25">
      <c r="A1313" s="56">
        <v>1043</v>
      </c>
      <c r="B1313" s="236"/>
      <c r="C1313" s="144" t="s">
        <v>1561</v>
      </c>
      <c r="D1313" s="145" t="s">
        <v>1492</v>
      </c>
      <c r="E1313" s="19" t="s">
        <v>1487</v>
      </c>
      <c r="F1313" s="144">
        <v>572.70000000000005</v>
      </c>
      <c r="G1313" s="144">
        <v>0</v>
      </c>
      <c r="H1313" s="144">
        <v>0</v>
      </c>
      <c r="I1313" s="144">
        <f t="shared" si="66"/>
        <v>572.70000000000005</v>
      </c>
      <c r="J1313" s="144">
        <v>0</v>
      </c>
      <c r="K1313" s="77">
        <v>45413</v>
      </c>
    </row>
    <row r="1314" spans="1:11" s="51" customFormat="1" ht="85.8" customHeight="1" x14ac:dyDescent="0.25">
      <c r="A1314" s="56">
        <v>1044</v>
      </c>
      <c r="B1314" s="236"/>
      <c r="C1314" s="144" t="s">
        <v>1562</v>
      </c>
      <c r="D1314" s="145" t="s">
        <v>1563</v>
      </c>
      <c r="E1314" s="19" t="s">
        <v>1487</v>
      </c>
      <c r="F1314" s="144">
        <v>579.20000000000005</v>
      </c>
      <c r="G1314" s="144">
        <v>0</v>
      </c>
      <c r="H1314" s="144">
        <v>0</v>
      </c>
      <c r="I1314" s="144">
        <f t="shared" si="66"/>
        <v>579.20000000000005</v>
      </c>
      <c r="J1314" s="144">
        <v>0</v>
      </c>
      <c r="K1314" s="77">
        <v>45352</v>
      </c>
    </row>
    <row r="1315" spans="1:11" s="51" customFormat="1" ht="69" customHeight="1" x14ac:dyDescent="0.25">
      <c r="A1315" s="56">
        <v>1045</v>
      </c>
      <c r="B1315" s="236"/>
      <c r="C1315" s="144" t="s">
        <v>1564</v>
      </c>
      <c r="D1315" s="145" t="s">
        <v>1541</v>
      </c>
      <c r="E1315" s="19" t="s">
        <v>1487</v>
      </c>
      <c r="F1315" s="144">
        <v>655</v>
      </c>
      <c r="G1315" s="144">
        <v>0</v>
      </c>
      <c r="H1315" s="144">
        <v>0</v>
      </c>
      <c r="I1315" s="144">
        <f t="shared" si="66"/>
        <v>655</v>
      </c>
      <c r="J1315" s="144">
        <v>0</v>
      </c>
      <c r="K1315" s="77">
        <v>45383</v>
      </c>
    </row>
    <row r="1316" spans="1:11" s="51" customFormat="1" ht="68.400000000000006" customHeight="1" x14ac:dyDescent="0.25">
      <c r="A1316" s="56">
        <v>1046</v>
      </c>
      <c r="B1316" s="236"/>
      <c r="C1316" s="144" t="s">
        <v>1565</v>
      </c>
      <c r="D1316" s="145" t="s">
        <v>1566</v>
      </c>
      <c r="E1316" s="19" t="s">
        <v>1487</v>
      </c>
      <c r="F1316" s="144">
        <v>3346.3</v>
      </c>
      <c r="G1316" s="144">
        <v>0</v>
      </c>
      <c r="H1316" s="144">
        <v>0</v>
      </c>
      <c r="I1316" s="144">
        <f t="shared" si="66"/>
        <v>3346.3</v>
      </c>
      <c r="J1316" s="144">
        <v>0</v>
      </c>
      <c r="K1316" s="77">
        <v>45292</v>
      </c>
    </row>
    <row r="1317" spans="1:11" s="51" customFormat="1" ht="27.6" customHeight="1" x14ac:dyDescent="0.3">
      <c r="A1317" s="233" t="s">
        <v>1567</v>
      </c>
      <c r="B1317" s="234"/>
      <c r="C1317" s="234"/>
      <c r="D1317" s="234"/>
      <c r="E1317" s="234"/>
      <c r="F1317" s="59">
        <f>SUM(F1311:F1316)</f>
        <v>5603.2000000000007</v>
      </c>
      <c r="G1317" s="59">
        <f t="shared" ref="G1317:J1317" si="67">SUM(G1311:G1316)</f>
        <v>0</v>
      </c>
      <c r="H1317" s="59">
        <f t="shared" si="67"/>
        <v>0</v>
      </c>
      <c r="I1317" s="59">
        <f t="shared" si="67"/>
        <v>5603.2000000000007</v>
      </c>
      <c r="J1317" s="59">
        <f t="shared" si="67"/>
        <v>0</v>
      </c>
      <c r="K1317" s="60"/>
    </row>
    <row r="1318" spans="1:11" s="51" customFormat="1" ht="49.8" customHeight="1" x14ac:dyDescent="0.25">
      <c r="A1318" s="56">
        <v>1047</v>
      </c>
      <c r="B1318" s="226" t="s">
        <v>1568</v>
      </c>
      <c r="C1318" s="144" t="s">
        <v>1569</v>
      </c>
      <c r="D1318" s="144" t="s">
        <v>1570</v>
      </c>
      <c r="E1318" s="144" t="s">
        <v>21</v>
      </c>
      <c r="F1318" s="144">
        <v>791.82060999999999</v>
      </c>
      <c r="G1318" s="144">
        <v>725.83555999999999</v>
      </c>
      <c r="H1318" s="144">
        <v>65.985050000000001</v>
      </c>
      <c r="I1318" s="144">
        <v>0</v>
      </c>
      <c r="J1318" s="144">
        <v>0</v>
      </c>
      <c r="K1318" s="35">
        <v>44562</v>
      </c>
    </row>
    <row r="1319" spans="1:11" s="51" customFormat="1" ht="68.400000000000006" customHeight="1" x14ac:dyDescent="0.25">
      <c r="A1319" s="56">
        <v>1048</v>
      </c>
      <c r="B1319" s="226"/>
      <c r="C1319" s="144" t="s">
        <v>1571</v>
      </c>
      <c r="D1319" s="144" t="s">
        <v>1572</v>
      </c>
      <c r="E1319" s="144" t="s">
        <v>21</v>
      </c>
      <c r="F1319" s="144">
        <v>702.18</v>
      </c>
      <c r="G1319" s="144">
        <v>643.66499999999996</v>
      </c>
      <c r="H1319" s="144">
        <v>58.515000000000001</v>
      </c>
      <c r="I1319" s="144">
        <v>0</v>
      </c>
      <c r="J1319" s="144">
        <v>0</v>
      </c>
      <c r="K1319" s="35">
        <v>44562</v>
      </c>
    </row>
    <row r="1320" spans="1:11" s="51" customFormat="1" ht="52.2" customHeight="1" x14ac:dyDescent="0.25">
      <c r="A1320" s="56">
        <v>1049</v>
      </c>
      <c r="B1320" s="226"/>
      <c r="C1320" s="144" t="s">
        <v>1573</v>
      </c>
      <c r="D1320" s="144" t="s">
        <v>1574</v>
      </c>
      <c r="E1320" s="144" t="s">
        <v>21</v>
      </c>
      <c r="F1320" s="144">
        <v>4981.68703</v>
      </c>
      <c r="G1320" s="144">
        <v>4981.68703</v>
      </c>
      <c r="H1320" s="144">
        <v>0</v>
      </c>
      <c r="I1320" s="144">
        <v>0</v>
      </c>
      <c r="J1320" s="144">
        <v>0</v>
      </c>
      <c r="K1320" s="35">
        <v>44562</v>
      </c>
    </row>
    <row r="1321" spans="1:11" s="51" customFormat="1" ht="48.6" customHeight="1" x14ac:dyDescent="0.25">
      <c r="A1321" s="56">
        <v>1050</v>
      </c>
      <c r="B1321" s="226"/>
      <c r="C1321" s="144" t="s">
        <v>1575</v>
      </c>
      <c r="D1321" s="144" t="s">
        <v>1576</v>
      </c>
      <c r="E1321" s="144" t="s">
        <v>21</v>
      </c>
      <c r="F1321" s="144">
        <v>5064.4895999999999</v>
      </c>
      <c r="G1321" s="144">
        <v>4211.2331999999997</v>
      </c>
      <c r="H1321" s="144">
        <v>853.25639999999999</v>
      </c>
      <c r="I1321" s="144">
        <v>0</v>
      </c>
      <c r="J1321" s="144">
        <v>0</v>
      </c>
      <c r="K1321" s="77">
        <v>44652</v>
      </c>
    </row>
    <row r="1322" spans="1:11" s="51" customFormat="1" ht="16.95" customHeight="1" x14ac:dyDescent="0.3">
      <c r="A1322" s="241" t="s">
        <v>1577</v>
      </c>
      <c r="B1322" s="234"/>
      <c r="C1322" s="238"/>
      <c r="D1322" s="238"/>
      <c r="E1322" s="242"/>
      <c r="F1322" s="140">
        <f>SUM(F1318:F1321)</f>
        <v>11540.177240000001</v>
      </c>
      <c r="G1322" s="140">
        <f t="shared" ref="G1322:H1322" si="68">SUM(G1318:G1321)</f>
        <v>10562.42079</v>
      </c>
      <c r="H1322" s="140">
        <f t="shared" si="68"/>
        <v>977.75644999999997</v>
      </c>
      <c r="I1322" s="144">
        <v>0</v>
      </c>
      <c r="J1322" s="144">
        <v>0</v>
      </c>
      <c r="K1322" s="35"/>
    </row>
    <row r="1323" spans="1:11" s="51" customFormat="1" ht="39.6" x14ac:dyDescent="0.25">
      <c r="A1323" s="56">
        <v>1051</v>
      </c>
      <c r="B1323" s="226" t="s">
        <v>1568</v>
      </c>
      <c r="C1323" s="144" t="s">
        <v>1578</v>
      </c>
      <c r="D1323" s="144" t="s">
        <v>1579</v>
      </c>
      <c r="E1323" s="144" t="s">
        <v>21</v>
      </c>
      <c r="F1323" s="144">
        <v>3898.7474900000002</v>
      </c>
      <c r="G1323" s="144">
        <v>0</v>
      </c>
      <c r="H1323" s="144">
        <v>3573.85187</v>
      </c>
      <c r="I1323" s="144">
        <v>324.89562000000001</v>
      </c>
      <c r="J1323" s="144">
        <v>0</v>
      </c>
      <c r="K1323" s="77">
        <v>44896</v>
      </c>
    </row>
    <row r="1324" spans="1:11" s="51" customFormat="1" ht="69.599999999999994" customHeight="1" x14ac:dyDescent="0.25">
      <c r="A1324" s="56">
        <v>1052</v>
      </c>
      <c r="B1324" s="226"/>
      <c r="C1324" s="144" t="s">
        <v>1580</v>
      </c>
      <c r="D1324" s="144" t="s">
        <v>1581</v>
      </c>
      <c r="E1324" s="144" t="s">
        <v>21</v>
      </c>
      <c r="F1324" s="144">
        <v>700.77</v>
      </c>
      <c r="G1324" s="144">
        <v>0</v>
      </c>
      <c r="H1324" s="144">
        <v>642.37249999999995</v>
      </c>
      <c r="I1324" s="144">
        <v>58.397500000000001</v>
      </c>
      <c r="J1324" s="144">
        <v>0</v>
      </c>
      <c r="K1324" s="77">
        <v>44896</v>
      </c>
    </row>
    <row r="1325" spans="1:11" s="51" customFormat="1" ht="39.6" x14ac:dyDescent="0.25">
      <c r="A1325" s="56">
        <v>1053</v>
      </c>
      <c r="B1325" s="226"/>
      <c r="C1325" s="144" t="s">
        <v>1582</v>
      </c>
      <c r="D1325" s="144" t="s">
        <v>1370</v>
      </c>
      <c r="E1325" s="144" t="s">
        <v>21</v>
      </c>
      <c r="F1325" s="144">
        <v>1163.05465</v>
      </c>
      <c r="G1325" s="144">
        <v>0</v>
      </c>
      <c r="H1325" s="144">
        <v>1061.9194500000001</v>
      </c>
      <c r="I1325" s="144">
        <v>101.1352</v>
      </c>
      <c r="J1325" s="144">
        <v>0</v>
      </c>
      <c r="K1325" s="77">
        <v>44896</v>
      </c>
    </row>
    <row r="1326" spans="1:11" s="51" customFormat="1" ht="32.4" customHeight="1" x14ac:dyDescent="0.3">
      <c r="A1326" s="241" t="s">
        <v>1583</v>
      </c>
      <c r="B1326" s="234"/>
      <c r="C1326" s="234"/>
      <c r="D1326" s="234"/>
      <c r="E1326" s="234"/>
      <c r="F1326" s="140">
        <f>SUM(F1323:F1325)</f>
        <v>5762.5721400000002</v>
      </c>
      <c r="G1326" s="144">
        <v>0</v>
      </c>
      <c r="H1326" s="140">
        <f t="shared" ref="H1326:I1326" si="69">SUM(H1323:H1325)</f>
        <v>5278.1438200000002</v>
      </c>
      <c r="I1326" s="140">
        <f t="shared" si="69"/>
        <v>484.42831999999999</v>
      </c>
      <c r="J1326" s="144">
        <v>0</v>
      </c>
      <c r="K1326" s="35"/>
    </row>
    <row r="1327" spans="1:11" s="51" customFormat="1" ht="49.2" customHeight="1" x14ac:dyDescent="0.25">
      <c r="A1327" s="56">
        <v>1054</v>
      </c>
      <c r="B1327" s="226" t="s">
        <v>1568</v>
      </c>
      <c r="C1327" s="144" t="s">
        <v>1584</v>
      </c>
      <c r="D1327" s="144" t="s">
        <v>1585</v>
      </c>
      <c r="E1327" s="144" t="s">
        <v>21</v>
      </c>
      <c r="F1327" s="144">
        <v>4210.8681200000001</v>
      </c>
      <c r="G1327" s="144">
        <v>0</v>
      </c>
      <c r="H1327" s="144">
        <v>0</v>
      </c>
      <c r="I1327" s="144">
        <v>3885.9724999999999</v>
      </c>
      <c r="J1327" s="144">
        <v>324.89562000000001</v>
      </c>
      <c r="K1327" s="77">
        <v>45261</v>
      </c>
    </row>
    <row r="1328" spans="1:11" s="51" customFormat="1" ht="67.2" customHeight="1" x14ac:dyDescent="0.25">
      <c r="A1328" s="56">
        <v>1055</v>
      </c>
      <c r="B1328" s="226"/>
      <c r="C1328" s="144" t="s">
        <v>1586</v>
      </c>
      <c r="D1328" s="144" t="s">
        <v>1587</v>
      </c>
      <c r="E1328" s="144" t="s">
        <v>21</v>
      </c>
      <c r="F1328" s="144">
        <v>701.13</v>
      </c>
      <c r="G1328" s="144">
        <v>0</v>
      </c>
      <c r="H1328" s="144">
        <v>0</v>
      </c>
      <c r="I1328" s="144">
        <v>642.73249999999996</v>
      </c>
      <c r="J1328" s="144">
        <v>58.397500000000001</v>
      </c>
      <c r="K1328" s="77">
        <v>45261</v>
      </c>
    </row>
    <row r="1329" spans="1:11" s="51" customFormat="1" ht="53.4" customHeight="1" x14ac:dyDescent="0.25">
      <c r="A1329" s="56">
        <v>1056</v>
      </c>
      <c r="B1329" s="226"/>
      <c r="C1329" s="144" t="s">
        <v>1588</v>
      </c>
      <c r="D1329" s="144" t="s">
        <v>1459</v>
      </c>
      <c r="E1329" s="144" t="s">
        <v>21</v>
      </c>
      <c r="F1329" s="144">
        <v>1163.05465</v>
      </c>
      <c r="G1329" s="144">
        <v>0</v>
      </c>
      <c r="H1329" s="144">
        <v>0</v>
      </c>
      <c r="I1329" s="144">
        <v>1061.9194500000001</v>
      </c>
      <c r="J1329" s="144">
        <v>101.1352</v>
      </c>
      <c r="K1329" s="77">
        <v>45261</v>
      </c>
    </row>
    <row r="1330" spans="1:11" s="51" customFormat="1" ht="19.2" customHeight="1" x14ac:dyDescent="0.3">
      <c r="A1330" s="241" t="s">
        <v>1589</v>
      </c>
      <c r="B1330" s="234"/>
      <c r="C1330" s="234"/>
      <c r="D1330" s="234"/>
      <c r="E1330" s="234"/>
      <c r="F1330" s="59">
        <f>SUM(F1327:F1329)</f>
        <v>6075.0527700000002</v>
      </c>
      <c r="G1330" s="144">
        <v>0</v>
      </c>
      <c r="H1330" s="144">
        <v>0</v>
      </c>
      <c r="I1330" s="59">
        <f t="shared" ref="I1330:J1330" si="70">SUM(I1327:I1329)</f>
        <v>5590.6244500000003</v>
      </c>
      <c r="J1330" s="59">
        <f t="shared" si="70"/>
        <v>484.42831999999999</v>
      </c>
      <c r="K1330" s="60"/>
    </row>
    <row r="1331" spans="1:11" s="51" customFormat="1" ht="39.6" x14ac:dyDescent="0.25">
      <c r="A1331" s="56">
        <v>1057</v>
      </c>
      <c r="B1331" s="248" t="s">
        <v>1590</v>
      </c>
      <c r="C1331" s="144" t="s">
        <v>1591</v>
      </c>
      <c r="D1331" s="143" t="s">
        <v>1592</v>
      </c>
      <c r="E1331" s="144" t="s">
        <v>21</v>
      </c>
      <c r="F1331" s="54">
        <v>5232.24</v>
      </c>
      <c r="G1331" s="144">
        <v>0</v>
      </c>
      <c r="H1331" s="54">
        <v>5232.24</v>
      </c>
      <c r="I1331" s="54">
        <v>0</v>
      </c>
      <c r="J1331" s="54">
        <v>0</v>
      </c>
      <c r="K1331" s="55">
        <v>44805</v>
      </c>
    </row>
    <row r="1332" spans="1:11" s="51" customFormat="1" ht="49.8" customHeight="1" x14ac:dyDescent="0.25">
      <c r="A1332" s="56">
        <v>1058</v>
      </c>
      <c r="B1332" s="248"/>
      <c r="C1332" s="144" t="s">
        <v>1593</v>
      </c>
      <c r="D1332" s="143" t="s">
        <v>1594</v>
      </c>
      <c r="E1332" s="144" t="s">
        <v>21</v>
      </c>
      <c r="F1332" s="54">
        <v>2238.39</v>
      </c>
      <c r="G1332" s="144">
        <v>0</v>
      </c>
      <c r="H1332" s="54">
        <v>2238.39</v>
      </c>
      <c r="I1332" s="143">
        <v>0</v>
      </c>
      <c r="J1332" s="54">
        <v>0</v>
      </c>
      <c r="K1332" s="55">
        <v>44866</v>
      </c>
    </row>
    <row r="1333" spans="1:11" s="51" customFormat="1" ht="27" customHeight="1" x14ac:dyDescent="0.3">
      <c r="A1333" s="241" t="s">
        <v>1595</v>
      </c>
      <c r="B1333" s="234"/>
      <c r="C1333" s="234"/>
      <c r="D1333" s="234"/>
      <c r="E1333" s="234"/>
      <c r="F1333" s="59">
        <f>SUM(F1331:F1332)</f>
        <v>7470.6299999999992</v>
      </c>
      <c r="G1333" s="144">
        <v>0</v>
      </c>
      <c r="H1333" s="59">
        <f t="shared" ref="H1333:J1333" si="71">SUM(H1331:H1332)</f>
        <v>7470.6299999999992</v>
      </c>
      <c r="I1333" s="59">
        <f t="shared" si="71"/>
        <v>0</v>
      </c>
      <c r="J1333" s="59">
        <f t="shared" si="71"/>
        <v>0</v>
      </c>
      <c r="K1333" s="60"/>
    </row>
    <row r="1334" spans="1:11" s="51" customFormat="1" ht="39.6" x14ac:dyDescent="0.25">
      <c r="A1334" s="56">
        <v>1059</v>
      </c>
      <c r="B1334" s="248" t="s">
        <v>1590</v>
      </c>
      <c r="C1334" s="144" t="s">
        <v>1591</v>
      </c>
      <c r="D1334" s="143" t="s">
        <v>1596</v>
      </c>
      <c r="E1334" s="144" t="s">
        <v>21</v>
      </c>
      <c r="F1334" s="54">
        <v>5232.24</v>
      </c>
      <c r="G1334" s="144">
        <v>0</v>
      </c>
      <c r="H1334" s="144">
        <v>0</v>
      </c>
      <c r="I1334" s="54">
        <v>5232.2700000000004</v>
      </c>
      <c r="J1334" s="59">
        <f t="shared" ref="J1334" si="72">SUM(J1332:J1333)</f>
        <v>0</v>
      </c>
      <c r="K1334" s="55">
        <v>45170</v>
      </c>
    </row>
    <row r="1335" spans="1:11" s="51" customFormat="1" ht="46.8" customHeight="1" x14ac:dyDescent="0.25">
      <c r="A1335" s="56">
        <v>1060</v>
      </c>
      <c r="B1335" s="248"/>
      <c r="C1335" s="144" t="s">
        <v>1593</v>
      </c>
      <c r="D1335" s="143" t="s">
        <v>1597</v>
      </c>
      <c r="E1335" s="144" t="s">
        <v>21</v>
      </c>
      <c r="F1335" s="54">
        <v>2238.39</v>
      </c>
      <c r="G1335" s="144">
        <v>0</v>
      </c>
      <c r="H1335" s="144">
        <v>0</v>
      </c>
      <c r="I1335" s="54">
        <v>2238.39</v>
      </c>
      <c r="J1335" s="59">
        <f t="shared" ref="J1335" si="73">SUM(J1333:J1334)</f>
        <v>0</v>
      </c>
      <c r="K1335" s="55">
        <v>45231</v>
      </c>
    </row>
    <row r="1336" spans="1:11" s="51" customFormat="1" ht="32.4" customHeight="1" x14ac:dyDescent="0.3">
      <c r="A1336" s="241" t="s">
        <v>1598</v>
      </c>
      <c r="B1336" s="234"/>
      <c r="C1336" s="234"/>
      <c r="D1336" s="234"/>
      <c r="E1336" s="234"/>
      <c r="F1336" s="59">
        <f>SUM(F1334:F1335)</f>
        <v>7470.6299999999992</v>
      </c>
      <c r="G1336" s="144">
        <v>0</v>
      </c>
      <c r="H1336" s="144">
        <v>0</v>
      </c>
      <c r="I1336" s="59">
        <f t="shared" ref="I1336:J1336" si="74">SUM(I1334:I1335)</f>
        <v>7470.66</v>
      </c>
      <c r="J1336" s="59">
        <f t="shared" si="74"/>
        <v>0</v>
      </c>
      <c r="K1336" s="60"/>
    </row>
    <row r="1337" spans="1:11" s="51" customFormat="1" ht="72.599999999999994" customHeight="1" x14ac:dyDescent="0.25">
      <c r="A1337" s="56">
        <v>1061</v>
      </c>
      <c r="B1337" s="247" t="s">
        <v>1599</v>
      </c>
      <c r="C1337" s="144" t="s">
        <v>1600</v>
      </c>
      <c r="D1337" s="18" t="s">
        <v>1601</v>
      </c>
      <c r="E1337" s="19" t="s">
        <v>21</v>
      </c>
      <c r="F1337" s="20">
        <v>120</v>
      </c>
      <c r="G1337" s="20">
        <f t="shared" ref="G1337:G1342" si="75">F1337</f>
        <v>120</v>
      </c>
      <c r="H1337" s="144">
        <v>0</v>
      </c>
      <c r="I1337" s="144">
        <v>0</v>
      </c>
      <c r="J1337" s="144">
        <v>0</v>
      </c>
      <c r="K1337" s="35">
        <v>44743</v>
      </c>
    </row>
    <row r="1338" spans="1:11" s="51" customFormat="1" ht="71.400000000000006" customHeight="1" x14ac:dyDescent="0.25">
      <c r="A1338" s="56">
        <v>1062</v>
      </c>
      <c r="B1338" s="247"/>
      <c r="C1338" s="144" t="s">
        <v>1600</v>
      </c>
      <c r="D1338" s="18" t="s">
        <v>1601</v>
      </c>
      <c r="E1338" s="19" t="s">
        <v>21</v>
      </c>
      <c r="F1338" s="20">
        <v>120</v>
      </c>
      <c r="G1338" s="20">
        <f t="shared" si="75"/>
        <v>120</v>
      </c>
      <c r="H1338" s="144">
        <v>0</v>
      </c>
      <c r="I1338" s="144">
        <v>0</v>
      </c>
      <c r="J1338" s="144">
        <v>0</v>
      </c>
      <c r="K1338" s="35">
        <v>44743</v>
      </c>
    </row>
    <row r="1339" spans="1:11" s="51" customFormat="1" ht="65.400000000000006" customHeight="1" x14ac:dyDescent="0.25">
      <c r="A1339" s="56">
        <v>1063</v>
      </c>
      <c r="B1339" s="247"/>
      <c r="C1339" s="144" t="s">
        <v>1600</v>
      </c>
      <c r="D1339" s="18" t="s">
        <v>1601</v>
      </c>
      <c r="E1339" s="19" t="s">
        <v>21</v>
      </c>
      <c r="F1339" s="20">
        <v>1500</v>
      </c>
      <c r="G1339" s="20">
        <f t="shared" si="75"/>
        <v>1500</v>
      </c>
      <c r="H1339" s="144">
        <v>0</v>
      </c>
      <c r="I1339" s="144">
        <v>0</v>
      </c>
      <c r="J1339" s="144">
        <v>0</v>
      </c>
      <c r="K1339" s="77">
        <v>44652</v>
      </c>
    </row>
    <row r="1340" spans="1:11" s="51" customFormat="1" ht="70.2" customHeight="1" x14ac:dyDescent="0.25">
      <c r="A1340" s="56">
        <v>1064</v>
      </c>
      <c r="B1340" s="247"/>
      <c r="C1340" s="144" t="s">
        <v>1600</v>
      </c>
      <c r="D1340" s="18" t="s">
        <v>1601</v>
      </c>
      <c r="E1340" s="19" t="s">
        <v>21</v>
      </c>
      <c r="F1340" s="20">
        <v>100</v>
      </c>
      <c r="G1340" s="20">
        <f t="shared" si="75"/>
        <v>100</v>
      </c>
      <c r="H1340" s="144">
        <v>0</v>
      </c>
      <c r="I1340" s="144">
        <v>0</v>
      </c>
      <c r="J1340" s="144">
        <v>0</v>
      </c>
      <c r="K1340" s="35">
        <v>44743</v>
      </c>
    </row>
    <row r="1341" spans="1:11" s="51" customFormat="1" ht="66.599999999999994" customHeight="1" x14ac:dyDescent="0.25">
      <c r="A1341" s="56">
        <v>1065</v>
      </c>
      <c r="B1341" s="247"/>
      <c r="C1341" s="144" t="s">
        <v>1600</v>
      </c>
      <c r="D1341" s="18" t="s">
        <v>1601</v>
      </c>
      <c r="E1341" s="19" t="s">
        <v>21</v>
      </c>
      <c r="F1341" s="20">
        <v>140</v>
      </c>
      <c r="G1341" s="20">
        <f t="shared" si="75"/>
        <v>140</v>
      </c>
      <c r="H1341" s="144">
        <v>0</v>
      </c>
      <c r="I1341" s="144">
        <v>0</v>
      </c>
      <c r="J1341" s="144">
        <v>0</v>
      </c>
      <c r="K1341" s="77">
        <v>44621</v>
      </c>
    </row>
    <row r="1342" spans="1:11" s="51" customFormat="1" ht="69.599999999999994" customHeight="1" x14ac:dyDescent="0.25">
      <c r="A1342" s="56">
        <v>1066</v>
      </c>
      <c r="B1342" s="247"/>
      <c r="C1342" s="144" t="s">
        <v>1600</v>
      </c>
      <c r="D1342" s="18" t="s">
        <v>1601</v>
      </c>
      <c r="E1342" s="19" t="s">
        <v>21</v>
      </c>
      <c r="F1342" s="20">
        <v>100</v>
      </c>
      <c r="G1342" s="20">
        <f t="shared" si="75"/>
        <v>100</v>
      </c>
      <c r="H1342" s="144">
        <v>0</v>
      </c>
      <c r="I1342" s="144">
        <v>0</v>
      </c>
      <c r="J1342" s="144">
        <v>0</v>
      </c>
      <c r="K1342" s="77">
        <v>44805</v>
      </c>
    </row>
    <row r="1343" spans="1:11" s="51" customFormat="1" ht="66" customHeight="1" x14ac:dyDescent="0.25">
      <c r="A1343" s="56">
        <v>1067</v>
      </c>
      <c r="B1343" s="247"/>
      <c r="C1343" s="144" t="s">
        <v>1602</v>
      </c>
      <c r="D1343" s="21" t="s">
        <v>1603</v>
      </c>
      <c r="E1343" s="19" t="s">
        <v>21</v>
      </c>
      <c r="F1343" s="20">
        <v>380.35</v>
      </c>
      <c r="G1343" s="20">
        <f>F1343</f>
        <v>380.35</v>
      </c>
      <c r="H1343" s="144">
        <v>0</v>
      </c>
      <c r="I1343" s="144">
        <v>0</v>
      </c>
      <c r="J1343" s="144">
        <v>0</v>
      </c>
      <c r="K1343" s="77">
        <v>44682</v>
      </c>
    </row>
    <row r="1344" spans="1:11" s="51" customFormat="1" ht="87" customHeight="1" x14ac:dyDescent="0.25">
      <c r="A1344" s="56">
        <v>1068</v>
      </c>
      <c r="B1344" s="247"/>
      <c r="C1344" s="144" t="s">
        <v>1604</v>
      </c>
      <c r="D1344" s="21" t="s">
        <v>1605</v>
      </c>
      <c r="E1344" s="19" t="s">
        <v>21</v>
      </c>
      <c r="F1344" s="20">
        <v>338.82400000000001</v>
      </c>
      <c r="G1344" s="20">
        <f t="shared" ref="G1344:G1346" si="76">F1344</f>
        <v>338.82400000000001</v>
      </c>
      <c r="H1344" s="144">
        <v>0</v>
      </c>
      <c r="I1344" s="144">
        <v>0</v>
      </c>
      <c r="J1344" s="144">
        <v>0</v>
      </c>
      <c r="K1344" s="77">
        <v>44774</v>
      </c>
    </row>
    <row r="1345" spans="1:11" s="51" customFormat="1" ht="39.6" x14ac:dyDescent="0.25">
      <c r="A1345" s="56">
        <v>1069</v>
      </c>
      <c r="B1345" s="247"/>
      <c r="C1345" s="144" t="s">
        <v>1606</v>
      </c>
      <c r="D1345" s="21" t="s">
        <v>1607</v>
      </c>
      <c r="E1345" s="19" t="s">
        <v>21</v>
      </c>
      <c r="F1345" s="20">
        <v>155.02815000000001</v>
      </c>
      <c r="G1345" s="20">
        <f t="shared" si="76"/>
        <v>155.02815000000001</v>
      </c>
      <c r="H1345" s="144">
        <v>0</v>
      </c>
      <c r="I1345" s="144">
        <v>0</v>
      </c>
      <c r="J1345" s="144">
        <v>0</v>
      </c>
      <c r="K1345" s="77">
        <v>44774</v>
      </c>
    </row>
    <row r="1346" spans="1:11" s="51" customFormat="1" ht="69" customHeight="1" x14ac:dyDescent="0.25">
      <c r="A1346" s="56">
        <v>1070</v>
      </c>
      <c r="B1346" s="247"/>
      <c r="C1346" s="144" t="s">
        <v>1608</v>
      </c>
      <c r="D1346" s="21" t="s">
        <v>1609</v>
      </c>
      <c r="E1346" s="19" t="s">
        <v>21</v>
      </c>
      <c r="F1346" s="20">
        <v>41.8</v>
      </c>
      <c r="G1346" s="20">
        <f t="shared" si="76"/>
        <v>41.8</v>
      </c>
      <c r="H1346" s="144">
        <v>0</v>
      </c>
      <c r="I1346" s="144">
        <v>0</v>
      </c>
      <c r="J1346" s="144">
        <v>0</v>
      </c>
      <c r="K1346" s="77">
        <v>44774</v>
      </c>
    </row>
    <row r="1347" spans="1:11" s="51" customFormat="1" ht="56.4" customHeight="1" x14ac:dyDescent="0.25">
      <c r="A1347" s="56">
        <v>1071</v>
      </c>
      <c r="B1347" s="247"/>
      <c r="C1347" s="144" t="s">
        <v>1610</v>
      </c>
      <c r="D1347" s="21" t="s">
        <v>1611</v>
      </c>
      <c r="E1347" s="19" t="s">
        <v>21</v>
      </c>
      <c r="F1347" s="20">
        <f>H1347+I1347</f>
        <v>3125.28</v>
      </c>
      <c r="G1347" s="20">
        <v>0</v>
      </c>
      <c r="H1347" s="144">
        <v>2818.88</v>
      </c>
      <c r="I1347" s="144">
        <v>306.39999999999998</v>
      </c>
      <c r="J1347" s="144">
        <v>0</v>
      </c>
      <c r="K1347" s="77">
        <v>44805</v>
      </c>
    </row>
    <row r="1348" spans="1:11" s="51" customFormat="1" ht="39.6" x14ac:dyDescent="0.25">
      <c r="A1348" s="56">
        <v>1072</v>
      </c>
      <c r="B1348" s="247"/>
      <c r="C1348" s="144" t="s">
        <v>1612</v>
      </c>
      <c r="D1348" s="21" t="s">
        <v>1370</v>
      </c>
      <c r="E1348" s="19" t="s">
        <v>21</v>
      </c>
      <c r="F1348" s="20">
        <f t="shared" ref="F1348:F1356" si="77">H1348+I1348</f>
        <v>1694.3593499999999</v>
      </c>
      <c r="G1348" s="20">
        <v>0</v>
      </c>
      <c r="H1348" s="144">
        <v>1535.4386999999999</v>
      </c>
      <c r="I1348" s="144">
        <v>158.92064999999999</v>
      </c>
      <c r="J1348" s="144">
        <v>0</v>
      </c>
      <c r="K1348" s="77">
        <v>44805</v>
      </c>
    </row>
    <row r="1349" spans="1:11" s="51" customFormat="1" ht="59.4" customHeight="1" x14ac:dyDescent="0.25">
      <c r="A1349" s="56">
        <v>1073</v>
      </c>
      <c r="B1349" s="247"/>
      <c r="C1349" s="144" t="s">
        <v>1613</v>
      </c>
      <c r="D1349" s="21" t="s">
        <v>1614</v>
      </c>
      <c r="E1349" s="19" t="s">
        <v>21</v>
      </c>
      <c r="F1349" s="20">
        <f t="shared" si="77"/>
        <v>953.5</v>
      </c>
      <c r="G1349" s="20">
        <v>0</v>
      </c>
      <c r="H1349" s="144">
        <v>865.5</v>
      </c>
      <c r="I1349" s="144">
        <v>88</v>
      </c>
      <c r="J1349" s="144">
        <v>0</v>
      </c>
      <c r="K1349" s="77">
        <v>44805</v>
      </c>
    </row>
    <row r="1350" spans="1:11" s="51" customFormat="1" ht="49.8" customHeight="1" x14ac:dyDescent="0.25">
      <c r="A1350" s="56">
        <v>1074</v>
      </c>
      <c r="B1350" s="247"/>
      <c r="C1350" s="144" t="s">
        <v>1615</v>
      </c>
      <c r="D1350" s="21" t="s">
        <v>1579</v>
      </c>
      <c r="E1350" s="19" t="s">
        <v>21</v>
      </c>
      <c r="F1350" s="20">
        <f t="shared" si="77"/>
        <v>673.46879999999999</v>
      </c>
      <c r="G1350" s="20">
        <v>0</v>
      </c>
      <c r="H1350" s="144">
        <v>616.27008000000001</v>
      </c>
      <c r="I1350" s="144">
        <v>57.198720000000002</v>
      </c>
      <c r="J1350" s="144">
        <v>0</v>
      </c>
      <c r="K1350" s="77">
        <v>44805</v>
      </c>
    </row>
    <row r="1351" spans="1:11" s="51" customFormat="1" ht="56.4" customHeight="1" x14ac:dyDescent="0.25">
      <c r="A1351" s="56">
        <v>1075</v>
      </c>
      <c r="B1351" s="247"/>
      <c r="C1351" s="144" t="s">
        <v>1616</v>
      </c>
      <c r="D1351" s="21" t="s">
        <v>1617</v>
      </c>
      <c r="E1351" s="19" t="s">
        <v>21</v>
      </c>
      <c r="F1351" s="20">
        <f t="shared" si="77"/>
        <v>321.3</v>
      </c>
      <c r="G1351" s="20">
        <v>0</v>
      </c>
      <c r="H1351" s="144">
        <v>289.8</v>
      </c>
      <c r="I1351" s="144">
        <v>31.5</v>
      </c>
      <c r="J1351" s="144">
        <v>0</v>
      </c>
      <c r="K1351" s="77">
        <v>44805</v>
      </c>
    </row>
    <row r="1352" spans="1:11" s="51" customFormat="1" ht="124.2" customHeight="1" x14ac:dyDescent="0.25">
      <c r="A1352" s="56">
        <v>1076</v>
      </c>
      <c r="B1352" s="247"/>
      <c r="C1352" s="144" t="s">
        <v>1618</v>
      </c>
      <c r="D1352" s="21" t="s">
        <v>1619</v>
      </c>
      <c r="E1352" s="19" t="s">
        <v>21</v>
      </c>
      <c r="F1352" s="20">
        <f t="shared" si="77"/>
        <v>262.38024000000001</v>
      </c>
      <c r="G1352" s="20">
        <v>0</v>
      </c>
      <c r="H1352" s="144">
        <v>240.51522</v>
      </c>
      <c r="I1352" s="144">
        <v>21.865020000000001</v>
      </c>
      <c r="J1352" s="144">
        <v>0</v>
      </c>
      <c r="K1352" s="77">
        <v>44805</v>
      </c>
    </row>
    <row r="1353" spans="1:11" s="51" customFormat="1" ht="64.8" customHeight="1" x14ac:dyDescent="0.25">
      <c r="A1353" s="56">
        <v>1077</v>
      </c>
      <c r="B1353" s="247"/>
      <c r="C1353" s="144" t="s">
        <v>1620</v>
      </c>
      <c r="D1353" s="21" t="s">
        <v>1621</v>
      </c>
      <c r="E1353" s="19" t="s">
        <v>21</v>
      </c>
      <c r="F1353" s="20">
        <f t="shared" si="77"/>
        <v>254.41200000000001</v>
      </c>
      <c r="G1353" s="20">
        <v>0</v>
      </c>
      <c r="H1353" s="144">
        <v>233.21100000000001</v>
      </c>
      <c r="I1353" s="144">
        <v>21.201000000000001</v>
      </c>
      <c r="J1353" s="144">
        <v>0</v>
      </c>
      <c r="K1353" s="77">
        <v>44805</v>
      </c>
    </row>
    <row r="1354" spans="1:11" s="51" customFormat="1" ht="66" x14ac:dyDescent="0.25">
      <c r="A1354" s="56">
        <v>1078</v>
      </c>
      <c r="B1354" s="247"/>
      <c r="C1354" s="144" t="s">
        <v>1622</v>
      </c>
      <c r="D1354" s="21" t="s">
        <v>1623</v>
      </c>
      <c r="E1354" s="19" t="s">
        <v>21</v>
      </c>
      <c r="F1354" s="20">
        <f t="shared" si="77"/>
        <v>185.13</v>
      </c>
      <c r="G1354" s="20">
        <v>0</v>
      </c>
      <c r="H1354" s="144">
        <v>171.666</v>
      </c>
      <c r="I1354" s="144">
        <v>13.464</v>
      </c>
      <c r="J1354" s="144">
        <v>0</v>
      </c>
      <c r="K1354" s="77">
        <v>44805</v>
      </c>
    </row>
    <row r="1355" spans="1:11" s="51" customFormat="1" ht="66" x14ac:dyDescent="0.25">
      <c r="A1355" s="56">
        <v>1079</v>
      </c>
      <c r="B1355" s="247"/>
      <c r="C1355" s="144" t="s">
        <v>1624</v>
      </c>
      <c r="D1355" s="21" t="s">
        <v>1625</v>
      </c>
      <c r="E1355" s="19" t="s">
        <v>21</v>
      </c>
      <c r="F1355" s="20">
        <f t="shared" si="77"/>
        <v>141.91800000000001</v>
      </c>
      <c r="G1355" s="20">
        <v>0</v>
      </c>
      <c r="H1355" s="144">
        <v>141.91800000000001</v>
      </c>
      <c r="I1355" s="144">
        <v>0</v>
      </c>
      <c r="J1355" s="144">
        <v>0</v>
      </c>
      <c r="K1355" s="77">
        <v>44805</v>
      </c>
    </row>
    <row r="1356" spans="1:11" s="51" customFormat="1" ht="69.599999999999994" customHeight="1" x14ac:dyDescent="0.25">
      <c r="A1356" s="56">
        <v>1080</v>
      </c>
      <c r="B1356" s="247"/>
      <c r="C1356" s="144" t="s">
        <v>1626</v>
      </c>
      <c r="D1356" s="21" t="s">
        <v>1627</v>
      </c>
      <c r="E1356" s="19" t="s">
        <v>21</v>
      </c>
      <c r="F1356" s="20">
        <f t="shared" si="77"/>
        <v>99.635499999999993</v>
      </c>
      <c r="G1356" s="20">
        <v>0</v>
      </c>
      <c r="H1356" s="144">
        <v>86.177999999999997</v>
      </c>
      <c r="I1356" s="144">
        <v>13.4575</v>
      </c>
      <c r="J1356" s="144">
        <v>0</v>
      </c>
      <c r="K1356" s="77">
        <v>44805</v>
      </c>
    </row>
    <row r="1357" spans="1:11" s="51" customFormat="1" ht="17.399999999999999" customHeight="1" x14ac:dyDescent="0.3">
      <c r="A1357" s="232" t="s">
        <v>1628</v>
      </c>
      <c r="B1357" s="234"/>
      <c r="C1357" s="234"/>
      <c r="D1357" s="234"/>
      <c r="E1357" s="234"/>
      <c r="F1357" s="59">
        <f>SUM(F1337:F1356)</f>
        <v>10707.386040000001</v>
      </c>
      <c r="G1357" s="59">
        <f t="shared" ref="G1357:J1357" si="78">SUM(G1337:G1356)</f>
        <v>2996.0021500000003</v>
      </c>
      <c r="H1357" s="59">
        <f t="shared" si="78"/>
        <v>6999.3770000000004</v>
      </c>
      <c r="I1357" s="59">
        <f t="shared" si="78"/>
        <v>712.00689</v>
      </c>
      <c r="J1357" s="59">
        <f t="shared" si="78"/>
        <v>0</v>
      </c>
      <c r="K1357" s="60"/>
    </row>
    <row r="1358" spans="1:11" s="51" customFormat="1" ht="69.599999999999994" customHeight="1" x14ac:dyDescent="0.25">
      <c r="A1358" s="56">
        <v>1081</v>
      </c>
      <c r="B1358" s="247" t="s">
        <v>1599</v>
      </c>
      <c r="C1358" s="144" t="s">
        <v>1629</v>
      </c>
      <c r="D1358" s="18" t="s">
        <v>1630</v>
      </c>
      <c r="E1358" s="19" t="s">
        <v>21</v>
      </c>
      <c r="F1358" s="20">
        <v>120</v>
      </c>
      <c r="G1358" s="140">
        <v>0</v>
      </c>
      <c r="H1358" s="144">
        <f>F1358</f>
        <v>120</v>
      </c>
      <c r="I1358" s="144">
        <v>0</v>
      </c>
      <c r="J1358" s="140">
        <v>0</v>
      </c>
      <c r="K1358" s="35">
        <v>45108</v>
      </c>
    </row>
    <row r="1359" spans="1:11" s="51" customFormat="1" ht="70.8" customHeight="1" x14ac:dyDescent="0.25">
      <c r="A1359" s="56">
        <v>1082</v>
      </c>
      <c r="B1359" s="247"/>
      <c r="C1359" s="144" t="s">
        <v>1629</v>
      </c>
      <c r="D1359" s="18" t="s">
        <v>1630</v>
      </c>
      <c r="E1359" s="19" t="s">
        <v>21</v>
      </c>
      <c r="F1359" s="20">
        <v>120</v>
      </c>
      <c r="G1359" s="140">
        <v>0</v>
      </c>
      <c r="H1359" s="144">
        <f t="shared" ref="H1359:H1367" si="79">F1359</f>
        <v>120</v>
      </c>
      <c r="I1359" s="144">
        <v>0</v>
      </c>
      <c r="J1359" s="140">
        <v>0</v>
      </c>
      <c r="K1359" s="35">
        <v>45108</v>
      </c>
    </row>
    <row r="1360" spans="1:11" s="51" customFormat="1" ht="70.2" customHeight="1" x14ac:dyDescent="0.25">
      <c r="A1360" s="56">
        <v>1083</v>
      </c>
      <c r="B1360" s="247"/>
      <c r="C1360" s="144" t="s">
        <v>1629</v>
      </c>
      <c r="D1360" s="18" t="s">
        <v>1630</v>
      </c>
      <c r="E1360" s="19" t="s">
        <v>21</v>
      </c>
      <c r="F1360" s="20">
        <v>120.2</v>
      </c>
      <c r="G1360" s="140">
        <v>0</v>
      </c>
      <c r="H1360" s="144">
        <f t="shared" si="79"/>
        <v>120.2</v>
      </c>
      <c r="I1360" s="144">
        <v>0</v>
      </c>
      <c r="J1360" s="140">
        <v>0</v>
      </c>
      <c r="K1360" s="77">
        <v>45017</v>
      </c>
    </row>
    <row r="1361" spans="1:11" s="51" customFormat="1" ht="70.2" customHeight="1" x14ac:dyDescent="0.25">
      <c r="A1361" s="56">
        <v>1084</v>
      </c>
      <c r="B1361" s="247"/>
      <c r="C1361" s="144" t="s">
        <v>1629</v>
      </c>
      <c r="D1361" s="18" t="s">
        <v>1630</v>
      </c>
      <c r="E1361" s="19" t="s">
        <v>21</v>
      </c>
      <c r="F1361" s="20">
        <v>100</v>
      </c>
      <c r="G1361" s="140">
        <v>0</v>
      </c>
      <c r="H1361" s="144">
        <f t="shared" si="79"/>
        <v>100</v>
      </c>
      <c r="I1361" s="144">
        <v>0</v>
      </c>
      <c r="J1361" s="140">
        <v>0</v>
      </c>
      <c r="K1361" s="35">
        <v>45108</v>
      </c>
    </row>
    <row r="1362" spans="1:11" s="51" customFormat="1" ht="67.2" customHeight="1" x14ac:dyDescent="0.25">
      <c r="A1362" s="56">
        <v>1085</v>
      </c>
      <c r="B1362" s="247"/>
      <c r="C1362" s="144" t="s">
        <v>1629</v>
      </c>
      <c r="D1362" s="18" t="s">
        <v>1630</v>
      </c>
      <c r="E1362" s="19" t="s">
        <v>21</v>
      </c>
      <c r="F1362" s="20">
        <v>140</v>
      </c>
      <c r="G1362" s="140">
        <v>0</v>
      </c>
      <c r="H1362" s="144">
        <f t="shared" si="79"/>
        <v>140</v>
      </c>
      <c r="I1362" s="144">
        <v>0</v>
      </c>
      <c r="J1362" s="140">
        <v>0</v>
      </c>
      <c r="K1362" s="77">
        <v>44986</v>
      </c>
    </row>
    <row r="1363" spans="1:11" s="51" customFormat="1" ht="66" customHeight="1" x14ac:dyDescent="0.25">
      <c r="A1363" s="56">
        <v>1086</v>
      </c>
      <c r="B1363" s="247"/>
      <c r="C1363" s="144" t="s">
        <v>1629</v>
      </c>
      <c r="D1363" s="18" t="s">
        <v>1630</v>
      </c>
      <c r="E1363" s="19" t="s">
        <v>21</v>
      </c>
      <c r="F1363" s="20">
        <v>100</v>
      </c>
      <c r="G1363" s="140">
        <v>0</v>
      </c>
      <c r="H1363" s="144">
        <f t="shared" si="79"/>
        <v>100</v>
      </c>
      <c r="I1363" s="144">
        <v>0</v>
      </c>
      <c r="J1363" s="140">
        <v>0</v>
      </c>
      <c r="K1363" s="77">
        <v>45170</v>
      </c>
    </row>
    <row r="1364" spans="1:11" s="51" customFormat="1" ht="78" customHeight="1" x14ac:dyDescent="0.25">
      <c r="A1364" s="56">
        <v>1087</v>
      </c>
      <c r="B1364" s="247"/>
      <c r="C1364" s="144" t="s">
        <v>1631</v>
      </c>
      <c r="D1364" s="21" t="s">
        <v>1632</v>
      </c>
      <c r="E1364" s="19" t="s">
        <v>21</v>
      </c>
      <c r="F1364" s="20">
        <v>380.35</v>
      </c>
      <c r="G1364" s="140">
        <v>0</v>
      </c>
      <c r="H1364" s="144">
        <f t="shared" si="79"/>
        <v>380.35</v>
      </c>
      <c r="I1364" s="144">
        <v>0</v>
      </c>
      <c r="J1364" s="140">
        <v>0</v>
      </c>
      <c r="K1364" s="77">
        <v>45047</v>
      </c>
    </row>
    <row r="1365" spans="1:11" s="51" customFormat="1" ht="79.8" customHeight="1" x14ac:dyDescent="0.25">
      <c r="A1365" s="56">
        <v>1088</v>
      </c>
      <c r="B1365" s="247"/>
      <c r="C1365" s="144" t="s">
        <v>1633</v>
      </c>
      <c r="D1365" s="21" t="s">
        <v>1634</v>
      </c>
      <c r="E1365" s="19" t="s">
        <v>21</v>
      </c>
      <c r="F1365" s="20">
        <v>338.82400000000001</v>
      </c>
      <c r="G1365" s="140">
        <v>0</v>
      </c>
      <c r="H1365" s="144">
        <f t="shared" si="79"/>
        <v>338.82400000000001</v>
      </c>
      <c r="I1365" s="144">
        <v>0</v>
      </c>
      <c r="J1365" s="140">
        <v>0</v>
      </c>
      <c r="K1365" s="77">
        <v>45139</v>
      </c>
    </row>
    <row r="1366" spans="1:11" s="51" customFormat="1" ht="39.6" x14ac:dyDescent="0.25">
      <c r="A1366" s="56">
        <v>1089</v>
      </c>
      <c r="B1366" s="247"/>
      <c r="C1366" s="144" t="s">
        <v>1635</v>
      </c>
      <c r="D1366" s="21" t="s">
        <v>1636</v>
      </c>
      <c r="E1366" s="19" t="s">
        <v>21</v>
      </c>
      <c r="F1366" s="20">
        <v>155.02815000000001</v>
      </c>
      <c r="G1366" s="140">
        <v>0</v>
      </c>
      <c r="H1366" s="144">
        <f t="shared" si="79"/>
        <v>155.02815000000001</v>
      </c>
      <c r="I1366" s="144">
        <v>0</v>
      </c>
      <c r="J1366" s="140">
        <v>0</v>
      </c>
      <c r="K1366" s="77">
        <v>45139</v>
      </c>
    </row>
    <row r="1367" spans="1:11" s="51" customFormat="1" ht="67.8" customHeight="1" x14ac:dyDescent="0.25">
      <c r="A1367" s="56">
        <v>1090</v>
      </c>
      <c r="B1367" s="247"/>
      <c r="C1367" s="144" t="s">
        <v>1637</v>
      </c>
      <c r="D1367" s="21" t="s">
        <v>1638</v>
      </c>
      <c r="E1367" s="19" t="s">
        <v>21</v>
      </c>
      <c r="F1367" s="20">
        <v>41.8</v>
      </c>
      <c r="G1367" s="140">
        <v>0</v>
      </c>
      <c r="H1367" s="144">
        <f t="shared" si="79"/>
        <v>41.8</v>
      </c>
      <c r="I1367" s="144">
        <v>0</v>
      </c>
      <c r="J1367" s="140">
        <v>0</v>
      </c>
      <c r="K1367" s="77">
        <v>45139</v>
      </c>
    </row>
    <row r="1368" spans="1:11" s="51" customFormat="1" ht="58.8" customHeight="1" x14ac:dyDescent="0.25">
      <c r="A1368" s="56">
        <v>1091</v>
      </c>
      <c r="B1368" s="247"/>
      <c r="C1368" s="144" t="s">
        <v>1639</v>
      </c>
      <c r="D1368" s="21" t="s">
        <v>1640</v>
      </c>
      <c r="E1368" s="19" t="s">
        <v>21</v>
      </c>
      <c r="F1368" s="144" t="e">
        <f>I1368+#REF!</f>
        <v>#REF!</v>
      </c>
      <c r="G1368" s="140">
        <v>0</v>
      </c>
      <c r="H1368" s="140">
        <v>0</v>
      </c>
      <c r="I1368" s="144">
        <v>2818.88</v>
      </c>
      <c r="J1368" s="140">
        <v>0</v>
      </c>
      <c r="K1368" s="77">
        <v>45170</v>
      </c>
    </row>
    <row r="1369" spans="1:11" s="51" customFormat="1" ht="39.6" x14ac:dyDescent="0.25">
      <c r="A1369" s="56">
        <v>1092</v>
      </c>
      <c r="B1369" s="247"/>
      <c r="C1369" s="144" t="s">
        <v>1641</v>
      </c>
      <c r="D1369" s="21" t="s">
        <v>1459</v>
      </c>
      <c r="E1369" s="19" t="s">
        <v>21</v>
      </c>
      <c r="F1369" s="144" t="e">
        <f>I1369+#REF!</f>
        <v>#REF!</v>
      </c>
      <c r="G1369" s="140">
        <v>0</v>
      </c>
      <c r="H1369" s="140">
        <v>0</v>
      </c>
      <c r="I1369" s="144">
        <v>1535.4386999999999</v>
      </c>
      <c r="J1369" s="140">
        <v>0</v>
      </c>
      <c r="K1369" s="77">
        <v>45170</v>
      </c>
    </row>
    <row r="1370" spans="1:11" s="51" customFormat="1" ht="55.8" customHeight="1" x14ac:dyDescent="0.25">
      <c r="A1370" s="56">
        <v>1093</v>
      </c>
      <c r="B1370" s="247"/>
      <c r="C1370" s="144" t="s">
        <v>1642</v>
      </c>
      <c r="D1370" s="21" t="s">
        <v>1643</v>
      </c>
      <c r="E1370" s="19" t="s">
        <v>21</v>
      </c>
      <c r="F1370" s="144" t="e">
        <f>I1370+#REF!</f>
        <v>#REF!</v>
      </c>
      <c r="G1370" s="140">
        <v>0</v>
      </c>
      <c r="H1370" s="140">
        <v>0</v>
      </c>
      <c r="I1370" s="144">
        <v>901.5</v>
      </c>
      <c r="J1370" s="140">
        <v>0</v>
      </c>
      <c r="K1370" s="77">
        <v>45170</v>
      </c>
    </row>
    <row r="1371" spans="1:11" s="51" customFormat="1" ht="39.6" x14ac:dyDescent="0.25">
      <c r="A1371" s="56">
        <v>1094</v>
      </c>
      <c r="B1371" s="247"/>
      <c r="C1371" s="144" t="s">
        <v>1644</v>
      </c>
      <c r="D1371" s="21" t="s">
        <v>1585</v>
      </c>
      <c r="E1371" s="19" t="s">
        <v>21</v>
      </c>
      <c r="F1371" s="144" t="e">
        <f>I1371+#REF!</f>
        <v>#REF!</v>
      </c>
      <c r="G1371" s="140">
        <v>0</v>
      </c>
      <c r="H1371" s="140">
        <v>0</v>
      </c>
      <c r="I1371" s="144">
        <v>616.27008000000001</v>
      </c>
      <c r="J1371" s="140">
        <v>0</v>
      </c>
      <c r="K1371" s="77">
        <v>45170</v>
      </c>
    </row>
    <row r="1372" spans="1:11" s="51" customFormat="1" ht="57.6" customHeight="1" x14ac:dyDescent="0.25">
      <c r="A1372" s="56">
        <v>1095</v>
      </c>
      <c r="B1372" s="247"/>
      <c r="C1372" s="144" t="s">
        <v>1645</v>
      </c>
      <c r="D1372" s="21" t="s">
        <v>1646</v>
      </c>
      <c r="E1372" s="19" t="s">
        <v>21</v>
      </c>
      <c r="F1372" s="144" t="e">
        <f>I1372+#REF!</f>
        <v>#REF!</v>
      </c>
      <c r="G1372" s="140">
        <v>0</v>
      </c>
      <c r="H1372" s="140">
        <v>0</v>
      </c>
      <c r="I1372" s="144">
        <v>289.8</v>
      </c>
      <c r="J1372" s="140">
        <v>0</v>
      </c>
      <c r="K1372" s="77">
        <v>45170</v>
      </c>
    </row>
    <row r="1373" spans="1:11" s="51" customFormat="1" ht="120.6" customHeight="1" x14ac:dyDescent="0.25">
      <c r="A1373" s="56">
        <v>1096</v>
      </c>
      <c r="B1373" s="247"/>
      <c r="C1373" s="144" t="s">
        <v>1647</v>
      </c>
      <c r="D1373" s="21" t="s">
        <v>1648</v>
      </c>
      <c r="E1373" s="19" t="s">
        <v>21</v>
      </c>
      <c r="F1373" s="144" t="e">
        <f>I1373+#REF!</f>
        <v>#REF!</v>
      </c>
      <c r="G1373" s="140">
        <v>0</v>
      </c>
      <c r="H1373" s="140">
        <v>0</v>
      </c>
      <c r="I1373" s="144">
        <v>240.51522</v>
      </c>
      <c r="J1373" s="140">
        <v>0</v>
      </c>
      <c r="K1373" s="77">
        <v>45170</v>
      </c>
    </row>
    <row r="1374" spans="1:11" s="51" customFormat="1" ht="64.8" customHeight="1" x14ac:dyDescent="0.25">
      <c r="A1374" s="56">
        <v>1097</v>
      </c>
      <c r="B1374" s="247"/>
      <c r="C1374" s="144" t="s">
        <v>1649</v>
      </c>
      <c r="D1374" s="21" t="s">
        <v>1650</v>
      </c>
      <c r="E1374" s="19" t="s">
        <v>21</v>
      </c>
      <c r="F1374" s="144" t="e">
        <f>I1374+#REF!</f>
        <v>#REF!</v>
      </c>
      <c r="G1374" s="140">
        <v>0</v>
      </c>
      <c r="H1374" s="140">
        <v>0</v>
      </c>
      <c r="I1374" s="144">
        <v>233.21100000000001</v>
      </c>
      <c r="J1374" s="140">
        <v>0</v>
      </c>
      <c r="K1374" s="77">
        <v>45170</v>
      </c>
    </row>
    <row r="1375" spans="1:11" s="51" customFormat="1" ht="66" x14ac:dyDescent="0.25">
      <c r="A1375" s="56">
        <v>1098</v>
      </c>
      <c r="B1375" s="247"/>
      <c r="C1375" s="144" t="s">
        <v>1651</v>
      </c>
      <c r="D1375" s="21" t="s">
        <v>1652</v>
      </c>
      <c r="E1375" s="19" t="s">
        <v>21</v>
      </c>
      <c r="F1375" s="144" t="e">
        <f>I1375+#REF!</f>
        <v>#REF!</v>
      </c>
      <c r="G1375" s="140">
        <v>0</v>
      </c>
      <c r="H1375" s="140">
        <v>0</v>
      </c>
      <c r="I1375" s="144">
        <v>171.666</v>
      </c>
      <c r="J1375" s="140">
        <v>0</v>
      </c>
      <c r="K1375" s="77">
        <v>45170</v>
      </c>
    </row>
    <row r="1376" spans="1:11" s="51" customFormat="1" ht="66" x14ac:dyDescent="0.25">
      <c r="A1376" s="56">
        <v>1099</v>
      </c>
      <c r="B1376" s="247"/>
      <c r="C1376" s="144" t="s">
        <v>1653</v>
      </c>
      <c r="D1376" s="21" t="s">
        <v>1654</v>
      </c>
      <c r="E1376" s="19" t="s">
        <v>21</v>
      </c>
      <c r="F1376" s="144" t="e">
        <f>I1376+#REF!</f>
        <v>#REF!</v>
      </c>
      <c r="G1376" s="140">
        <v>0</v>
      </c>
      <c r="H1376" s="140">
        <v>0</v>
      </c>
      <c r="I1376" s="144">
        <v>141.91800000000001</v>
      </c>
      <c r="J1376" s="140">
        <v>0</v>
      </c>
      <c r="K1376" s="77">
        <v>45170</v>
      </c>
    </row>
    <row r="1377" spans="1:11" s="51" customFormat="1" ht="73.8" customHeight="1" x14ac:dyDescent="0.25">
      <c r="A1377" s="56">
        <v>1100</v>
      </c>
      <c r="B1377" s="247"/>
      <c r="C1377" s="144" t="s">
        <v>1655</v>
      </c>
      <c r="D1377" s="21" t="s">
        <v>1656</v>
      </c>
      <c r="E1377" s="19" t="s">
        <v>21</v>
      </c>
      <c r="F1377" s="144" t="e">
        <f>I1377+#REF!</f>
        <v>#REF!</v>
      </c>
      <c r="G1377" s="140">
        <v>0</v>
      </c>
      <c r="H1377" s="140">
        <v>0</v>
      </c>
      <c r="I1377" s="144">
        <v>86.177999999999997</v>
      </c>
      <c r="J1377" s="140">
        <v>0</v>
      </c>
      <c r="K1377" s="77">
        <v>45170</v>
      </c>
    </row>
    <row r="1378" spans="1:11" s="51" customFormat="1" ht="27.6" customHeight="1" x14ac:dyDescent="0.3">
      <c r="A1378" s="241" t="s">
        <v>1657</v>
      </c>
      <c r="B1378" s="234"/>
      <c r="C1378" s="234"/>
      <c r="D1378" s="234"/>
      <c r="E1378" s="234"/>
      <c r="F1378" s="59" t="e">
        <f>SUM(F1358:F1377)</f>
        <v>#REF!</v>
      </c>
      <c r="G1378" s="59">
        <f t="shared" ref="G1378:J1378" si="80">SUM(G1358:G1377)</f>
        <v>0</v>
      </c>
      <c r="H1378" s="59">
        <f t="shared" si="80"/>
        <v>1616.2021500000003</v>
      </c>
      <c r="I1378" s="59">
        <f t="shared" si="80"/>
        <v>7035.3770000000004</v>
      </c>
      <c r="J1378" s="59">
        <f t="shared" si="80"/>
        <v>0</v>
      </c>
      <c r="K1378" s="60"/>
    </row>
    <row r="1379" spans="1:11" s="51" customFormat="1" ht="72" customHeight="1" x14ac:dyDescent="0.25">
      <c r="A1379" s="56">
        <v>1101</v>
      </c>
      <c r="B1379" s="247" t="s">
        <v>1599</v>
      </c>
      <c r="C1379" s="144" t="s">
        <v>1658</v>
      </c>
      <c r="D1379" s="18" t="s">
        <v>1659</v>
      </c>
      <c r="E1379" s="19" t="s">
        <v>21</v>
      </c>
      <c r="F1379" s="144">
        <f>I1379</f>
        <v>120</v>
      </c>
      <c r="G1379" s="140">
        <v>0</v>
      </c>
      <c r="H1379" s="140">
        <v>0</v>
      </c>
      <c r="I1379" s="20">
        <v>120</v>
      </c>
      <c r="J1379" s="140">
        <v>0</v>
      </c>
      <c r="K1379" s="35">
        <v>45474</v>
      </c>
    </row>
    <row r="1380" spans="1:11" s="51" customFormat="1" ht="67.2" customHeight="1" x14ac:dyDescent="0.25">
      <c r="A1380" s="56">
        <v>1102</v>
      </c>
      <c r="B1380" s="247"/>
      <c r="C1380" s="144" t="s">
        <v>1658</v>
      </c>
      <c r="D1380" s="18" t="s">
        <v>1659</v>
      </c>
      <c r="E1380" s="19" t="s">
        <v>21</v>
      </c>
      <c r="F1380" s="144">
        <f t="shared" ref="F1380:F1388" si="81">I1380</f>
        <v>120</v>
      </c>
      <c r="G1380" s="140">
        <v>0</v>
      </c>
      <c r="H1380" s="140">
        <v>0</v>
      </c>
      <c r="I1380" s="20">
        <v>120</v>
      </c>
      <c r="J1380" s="140">
        <v>0</v>
      </c>
      <c r="K1380" s="35">
        <v>45474</v>
      </c>
    </row>
    <row r="1381" spans="1:11" s="51" customFormat="1" ht="65.400000000000006" customHeight="1" x14ac:dyDescent="0.25">
      <c r="A1381" s="56">
        <v>1103</v>
      </c>
      <c r="B1381" s="247"/>
      <c r="C1381" s="144" t="s">
        <v>1658</v>
      </c>
      <c r="D1381" s="18" t="s">
        <v>1659</v>
      </c>
      <c r="E1381" s="19" t="s">
        <v>21</v>
      </c>
      <c r="F1381" s="144">
        <f t="shared" si="81"/>
        <v>120.2</v>
      </c>
      <c r="G1381" s="140">
        <v>0</v>
      </c>
      <c r="H1381" s="140">
        <v>0</v>
      </c>
      <c r="I1381" s="20">
        <v>120.2</v>
      </c>
      <c r="J1381" s="140">
        <v>0</v>
      </c>
      <c r="K1381" s="77">
        <v>45383</v>
      </c>
    </row>
    <row r="1382" spans="1:11" s="51" customFormat="1" ht="74.400000000000006" customHeight="1" x14ac:dyDescent="0.25">
      <c r="A1382" s="56">
        <v>1104</v>
      </c>
      <c r="B1382" s="247"/>
      <c r="C1382" s="144" t="s">
        <v>1658</v>
      </c>
      <c r="D1382" s="18" t="s">
        <v>1659</v>
      </c>
      <c r="E1382" s="19" t="s">
        <v>21</v>
      </c>
      <c r="F1382" s="144">
        <f t="shared" si="81"/>
        <v>100</v>
      </c>
      <c r="G1382" s="140">
        <v>0</v>
      </c>
      <c r="H1382" s="140">
        <v>0</v>
      </c>
      <c r="I1382" s="20">
        <v>100</v>
      </c>
      <c r="J1382" s="140">
        <v>0</v>
      </c>
      <c r="K1382" s="35">
        <v>45474</v>
      </c>
    </row>
    <row r="1383" spans="1:11" s="51" customFormat="1" ht="69.599999999999994" customHeight="1" x14ac:dyDescent="0.25">
      <c r="A1383" s="56">
        <v>1105</v>
      </c>
      <c r="B1383" s="247"/>
      <c r="C1383" s="144" t="s">
        <v>1658</v>
      </c>
      <c r="D1383" s="18" t="s">
        <v>1659</v>
      </c>
      <c r="E1383" s="19" t="s">
        <v>21</v>
      </c>
      <c r="F1383" s="144">
        <f t="shared" si="81"/>
        <v>140</v>
      </c>
      <c r="G1383" s="140">
        <v>0</v>
      </c>
      <c r="H1383" s="140">
        <v>0</v>
      </c>
      <c r="I1383" s="20">
        <v>140</v>
      </c>
      <c r="J1383" s="140">
        <v>0</v>
      </c>
      <c r="K1383" s="77">
        <v>45352</v>
      </c>
    </row>
    <row r="1384" spans="1:11" s="51" customFormat="1" ht="52.8" x14ac:dyDescent="0.25">
      <c r="A1384" s="56">
        <v>1106</v>
      </c>
      <c r="B1384" s="247"/>
      <c r="C1384" s="144" t="s">
        <v>1658</v>
      </c>
      <c r="D1384" s="18" t="s">
        <v>1659</v>
      </c>
      <c r="E1384" s="19" t="s">
        <v>21</v>
      </c>
      <c r="F1384" s="144">
        <f t="shared" si="81"/>
        <v>100</v>
      </c>
      <c r="G1384" s="140">
        <v>0</v>
      </c>
      <c r="H1384" s="140">
        <v>0</v>
      </c>
      <c r="I1384" s="20">
        <v>100</v>
      </c>
      <c r="J1384" s="140">
        <v>0</v>
      </c>
      <c r="K1384" s="77">
        <v>45536</v>
      </c>
    </row>
    <row r="1385" spans="1:11" s="51" customFormat="1" ht="73.2" customHeight="1" x14ac:dyDescent="0.25">
      <c r="A1385" s="56">
        <v>1107</v>
      </c>
      <c r="B1385" s="247"/>
      <c r="C1385" s="144" t="s">
        <v>1660</v>
      </c>
      <c r="D1385" s="21" t="s">
        <v>1661</v>
      </c>
      <c r="E1385" s="19" t="s">
        <v>21</v>
      </c>
      <c r="F1385" s="144">
        <f t="shared" si="81"/>
        <v>380.35</v>
      </c>
      <c r="G1385" s="140">
        <v>0</v>
      </c>
      <c r="H1385" s="140">
        <v>0</v>
      </c>
      <c r="I1385" s="20">
        <v>380.35</v>
      </c>
      <c r="J1385" s="140">
        <v>0</v>
      </c>
      <c r="K1385" s="77">
        <v>45413</v>
      </c>
    </row>
    <row r="1386" spans="1:11" s="51" customFormat="1" ht="87" customHeight="1" x14ac:dyDescent="0.25">
      <c r="A1386" s="56">
        <v>1108</v>
      </c>
      <c r="B1386" s="247"/>
      <c r="C1386" s="144" t="s">
        <v>1662</v>
      </c>
      <c r="D1386" s="21" t="s">
        <v>1663</v>
      </c>
      <c r="E1386" s="19" t="s">
        <v>21</v>
      </c>
      <c r="F1386" s="144">
        <f t="shared" si="81"/>
        <v>338.82400000000001</v>
      </c>
      <c r="G1386" s="140">
        <v>0</v>
      </c>
      <c r="H1386" s="140">
        <v>0</v>
      </c>
      <c r="I1386" s="20">
        <v>338.82400000000001</v>
      </c>
      <c r="J1386" s="140">
        <v>0</v>
      </c>
      <c r="K1386" s="77">
        <v>45505</v>
      </c>
    </row>
    <row r="1387" spans="1:11" s="51" customFormat="1" ht="39.6" x14ac:dyDescent="0.25">
      <c r="A1387" s="56">
        <v>1109</v>
      </c>
      <c r="B1387" s="247"/>
      <c r="C1387" s="144" t="s">
        <v>1664</v>
      </c>
      <c r="D1387" s="21" t="s">
        <v>1665</v>
      </c>
      <c r="E1387" s="19" t="s">
        <v>21</v>
      </c>
      <c r="F1387" s="144">
        <f t="shared" si="81"/>
        <v>155.02815000000001</v>
      </c>
      <c r="G1387" s="140">
        <v>0</v>
      </c>
      <c r="H1387" s="140">
        <v>0</v>
      </c>
      <c r="I1387" s="20">
        <v>155.02815000000001</v>
      </c>
      <c r="J1387" s="140">
        <v>0</v>
      </c>
      <c r="K1387" s="77">
        <v>45505</v>
      </c>
    </row>
    <row r="1388" spans="1:11" s="51" customFormat="1" ht="69.599999999999994" customHeight="1" x14ac:dyDescent="0.25">
      <c r="A1388" s="56">
        <v>1110</v>
      </c>
      <c r="B1388" s="247"/>
      <c r="C1388" s="144" t="s">
        <v>1666</v>
      </c>
      <c r="D1388" s="21" t="s">
        <v>1667</v>
      </c>
      <c r="E1388" s="19" t="s">
        <v>21</v>
      </c>
      <c r="F1388" s="144">
        <f t="shared" si="81"/>
        <v>41.8</v>
      </c>
      <c r="G1388" s="140">
        <v>0</v>
      </c>
      <c r="H1388" s="140">
        <v>0</v>
      </c>
      <c r="I1388" s="20">
        <v>41.8</v>
      </c>
      <c r="J1388" s="140">
        <v>0</v>
      </c>
      <c r="K1388" s="77">
        <v>45505</v>
      </c>
    </row>
    <row r="1389" spans="1:11" s="51" customFormat="1" ht="28.95" customHeight="1" x14ac:dyDescent="0.3">
      <c r="A1389" s="241" t="s">
        <v>1668</v>
      </c>
      <c r="B1389" s="234"/>
      <c r="C1389" s="234"/>
      <c r="D1389" s="234"/>
      <c r="E1389" s="234"/>
      <c r="F1389" s="59">
        <f>SUM(F1379:F1388)</f>
        <v>1616.2021500000003</v>
      </c>
      <c r="G1389" s="59">
        <f t="shared" ref="G1389:J1389" si="82">SUM(G1379:G1388)</f>
        <v>0</v>
      </c>
      <c r="H1389" s="59">
        <f t="shared" si="82"/>
        <v>0</v>
      </c>
      <c r="I1389" s="59">
        <f t="shared" si="82"/>
        <v>1616.2021500000003</v>
      </c>
      <c r="J1389" s="59">
        <f t="shared" si="82"/>
        <v>0</v>
      </c>
      <c r="K1389" s="60"/>
    </row>
    <row r="1390" spans="1:11" s="51" customFormat="1" ht="43.2" customHeight="1" x14ac:dyDescent="0.25">
      <c r="A1390" s="22">
        <v>1111</v>
      </c>
      <c r="B1390" s="197" t="s">
        <v>1669</v>
      </c>
      <c r="C1390" s="136" t="s">
        <v>2642</v>
      </c>
      <c r="D1390" s="61" t="s">
        <v>1570</v>
      </c>
      <c r="E1390" s="61" t="s">
        <v>12</v>
      </c>
      <c r="F1390" s="62">
        <v>2460.19</v>
      </c>
      <c r="G1390" s="62">
        <v>1725.03</v>
      </c>
      <c r="H1390" s="62">
        <v>735.16</v>
      </c>
      <c r="I1390" s="62">
        <v>0</v>
      </c>
      <c r="J1390" s="62">
        <v>0</v>
      </c>
      <c r="K1390" s="134">
        <v>44562</v>
      </c>
    </row>
    <row r="1391" spans="1:11" s="51" customFormat="1" ht="42.6" customHeight="1" x14ac:dyDescent="0.25">
      <c r="A1391" s="22">
        <v>1112</v>
      </c>
      <c r="B1391" s="197"/>
      <c r="C1391" s="136" t="s">
        <v>2643</v>
      </c>
      <c r="D1391" s="61" t="s">
        <v>1670</v>
      </c>
      <c r="E1391" s="61" t="s">
        <v>12</v>
      </c>
      <c r="F1391" s="62">
        <v>3607.37</v>
      </c>
      <c r="G1391" s="62">
        <v>2855.36</v>
      </c>
      <c r="H1391" s="62">
        <v>752.01</v>
      </c>
      <c r="I1391" s="62">
        <v>0</v>
      </c>
      <c r="J1391" s="62">
        <v>0</v>
      </c>
      <c r="K1391" s="134">
        <v>44562</v>
      </c>
    </row>
    <row r="1392" spans="1:11" s="51" customFormat="1" ht="28.95" customHeight="1" x14ac:dyDescent="0.3">
      <c r="A1392" s="245" t="s">
        <v>1671</v>
      </c>
      <c r="B1392" s="234"/>
      <c r="C1392" s="234"/>
      <c r="D1392" s="234"/>
      <c r="E1392" s="234"/>
      <c r="F1392" s="29">
        <f>SUM(F1390:F1391)</f>
        <v>6067.5599999999995</v>
      </c>
      <c r="G1392" s="29">
        <f t="shared" ref="G1392:H1392" si="83">SUM(G1390:G1391)</f>
        <v>4580.3900000000003</v>
      </c>
      <c r="H1392" s="29">
        <f t="shared" si="83"/>
        <v>1487.17</v>
      </c>
      <c r="I1392" s="62">
        <v>0</v>
      </c>
      <c r="J1392" s="62">
        <v>0</v>
      </c>
      <c r="K1392" s="36"/>
    </row>
    <row r="1393" spans="1:11" s="51" customFormat="1" ht="39.6" customHeight="1" x14ac:dyDescent="0.25">
      <c r="A1393" s="22">
        <v>1113</v>
      </c>
      <c r="B1393" s="197" t="s">
        <v>1669</v>
      </c>
      <c r="C1393" s="136" t="s">
        <v>2642</v>
      </c>
      <c r="D1393" s="61" t="s">
        <v>1370</v>
      </c>
      <c r="E1393" s="61" t="s">
        <v>12</v>
      </c>
      <c r="F1393" s="62">
        <v>810.59</v>
      </c>
      <c r="G1393" s="62">
        <v>0</v>
      </c>
      <c r="H1393" s="62">
        <v>725.03</v>
      </c>
      <c r="I1393" s="62">
        <v>85.53</v>
      </c>
      <c r="J1393" s="62">
        <v>0</v>
      </c>
      <c r="K1393" s="134">
        <v>44927</v>
      </c>
    </row>
    <row r="1394" spans="1:11" s="51" customFormat="1" ht="37.200000000000003" customHeight="1" x14ac:dyDescent="0.25">
      <c r="A1394" s="22">
        <v>1114</v>
      </c>
      <c r="B1394" s="197"/>
      <c r="C1394" s="136" t="s">
        <v>2643</v>
      </c>
      <c r="D1394" s="61" t="s">
        <v>1672</v>
      </c>
      <c r="E1394" s="61" t="s">
        <v>12</v>
      </c>
      <c r="F1394" s="62">
        <v>2102.4</v>
      </c>
      <c r="G1394" s="62">
        <v>0</v>
      </c>
      <c r="H1394" s="62">
        <v>1923.84</v>
      </c>
      <c r="I1394" s="62">
        <v>178.56</v>
      </c>
      <c r="J1394" s="62">
        <v>0</v>
      </c>
      <c r="K1394" s="134">
        <v>44927</v>
      </c>
    </row>
    <row r="1395" spans="1:11" s="51" customFormat="1" ht="30.6" customHeight="1" x14ac:dyDescent="0.3">
      <c r="A1395" s="245" t="s">
        <v>1673</v>
      </c>
      <c r="B1395" s="234"/>
      <c r="C1395" s="234"/>
      <c r="D1395" s="234"/>
      <c r="E1395" s="234"/>
      <c r="F1395" s="29">
        <f>SUM(F1393:F1394)</f>
        <v>2912.9900000000002</v>
      </c>
      <c r="G1395" s="29">
        <f t="shared" ref="G1395:I1395" si="84">SUM(G1393:G1394)</f>
        <v>0</v>
      </c>
      <c r="H1395" s="29">
        <f t="shared" si="84"/>
        <v>2648.87</v>
      </c>
      <c r="I1395" s="29">
        <f t="shared" si="84"/>
        <v>264.09000000000003</v>
      </c>
      <c r="J1395" s="62">
        <v>0</v>
      </c>
      <c r="K1395" s="36"/>
    </row>
    <row r="1396" spans="1:11" s="51" customFormat="1" ht="43.8" customHeight="1" x14ac:dyDescent="0.25">
      <c r="A1396" s="22">
        <v>1115</v>
      </c>
      <c r="B1396" s="197" t="s">
        <v>1669</v>
      </c>
      <c r="C1396" s="136" t="s">
        <v>2642</v>
      </c>
      <c r="D1396" s="61" t="s">
        <v>1459</v>
      </c>
      <c r="E1396" s="61" t="s">
        <v>12</v>
      </c>
      <c r="F1396" s="62">
        <v>1191.9000000000001</v>
      </c>
      <c r="G1396" s="29">
        <f t="shared" ref="G1396" si="85">SUM(G1394:G1395)</f>
        <v>0</v>
      </c>
      <c r="H1396" s="62">
        <v>0</v>
      </c>
      <c r="I1396" s="62">
        <v>1191.9000000000001</v>
      </c>
      <c r="J1396" s="62">
        <v>0</v>
      </c>
      <c r="K1396" s="134">
        <v>45292</v>
      </c>
    </row>
    <row r="1397" spans="1:11" s="51" customFormat="1" ht="40.200000000000003" customHeight="1" x14ac:dyDescent="0.25">
      <c r="A1397" s="22">
        <v>1116</v>
      </c>
      <c r="B1397" s="197"/>
      <c r="C1397" s="136" t="s">
        <v>2643</v>
      </c>
      <c r="D1397" s="61" t="s">
        <v>1674</v>
      </c>
      <c r="E1397" s="61" t="s">
        <v>12</v>
      </c>
      <c r="F1397" s="62">
        <v>2039.68</v>
      </c>
      <c r="G1397" s="29">
        <f t="shared" ref="G1397" si="86">SUM(G1395:G1396)</f>
        <v>0</v>
      </c>
      <c r="H1397" s="62">
        <v>0</v>
      </c>
      <c r="I1397" s="62">
        <v>2039.68</v>
      </c>
      <c r="J1397" s="62">
        <v>0</v>
      </c>
      <c r="K1397" s="134">
        <v>45293</v>
      </c>
    </row>
    <row r="1398" spans="1:11" s="51" customFormat="1" ht="30.6" customHeight="1" x14ac:dyDescent="0.3">
      <c r="A1398" s="245" t="s">
        <v>1673</v>
      </c>
      <c r="B1398" s="234"/>
      <c r="C1398" s="234"/>
      <c r="D1398" s="234"/>
      <c r="E1398" s="234"/>
      <c r="F1398" s="29">
        <f>SUM(F1396:F1397)</f>
        <v>3231.58</v>
      </c>
      <c r="G1398" s="29">
        <f t="shared" ref="G1398" si="87">SUM(G1396:G1397)</f>
        <v>0</v>
      </c>
      <c r="H1398" s="29">
        <f t="shared" ref="H1398:I1398" si="88">SUM(H1396:H1397)</f>
        <v>0</v>
      </c>
      <c r="I1398" s="29">
        <f t="shared" si="88"/>
        <v>3231.58</v>
      </c>
      <c r="J1398" s="62">
        <v>0</v>
      </c>
      <c r="K1398" s="36"/>
    </row>
    <row r="1399" spans="1:11" s="51" customFormat="1" ht="39.6" customHeight="1" x14ac:dyDescent="0.25">
      <c r="A1399" s="22">
        <v>1117</v>
      </c>
      <c r="B1399" s="197" t="s">
        <v>1675</v>
      </c>
      <c r="C1399" s="125" t="s">
        <v>1676</v>
      </c>
      <c r="D1399" s="63" t="s">
        <v>1677</v>
      </c>
      <c r="E1399" s="16" t="s">
        <v>12</v>
      </c>
      <c r="F1399" s="64">
        <f>G1399+H1399+I1399+J1399</f>
        <v>10.6</v>
      </c>
      <c r="G1399" s="23">
        <v>10.6</v>
      </c>
      <c r="H1399" s="24">
        <v>0</v>
      </c>
      <c r="I1399" s="24">
        <v>0</v>
      </c>
      <c r="J1399" s="62">
        <v>0</v>
      </c>
      <c r="K1399" s="36">
        <v>44621</v>
      </c>
    </row>
    <row r="1400" spans="1:11" s="51" customFormat="1" ht="42.6" customHeight="1" x14ac:dyDescent="0.25">
      <c r="A1400" s="22">
        <v>1118</v>
      </c>
      <c r="B1400" s="231"/>
      <c r="C1400" s="125" t="s">
        <v>1678</v>
      </c>
      <c r="D1400" s="63" t="s">
        <v>1679</v>
      </c>
      <c r="E1400" s="16" t="s">
        <v>12</v>
      </c>
      <c r="F1400" s="64">
        <f t="shared" ref="F1400:F1431" si="89">G1400+H1400+I1400+J1400</f>
        <v>30.96</v>
      </c>
      <c r="G1400" s="23">
        <v>30.96</v>
      </c>
      <c r="H1400" s="24">
        <v>0</v>
      </c>
      <c r="I1400" s="24">
        <v>0</v>
      </c>
      <c r="J1400" s="62">
        <v>0</v>
      </c>
      <c r="K1400" s="36">
        <v>44621</v>
      </c>
    </row>
    <row r="1401" spans="1:11" s="51" customFormat="1" ht="51" customHeight="1" x14ac:dyDescent="0.25">
      <c r="A1401" s="22">
        <v>1119</v>
      </c>
      <c r="B1401" s="231"/>
      <c r="C1401" s="125" t="s">
        <v>1680</v>
      </c>
      <c r="D1401" s="63" t="s">
        <v>1681</v>
      </c>
      <c r="E1401" s="16" t="s">
        <v>12</v>
      </c>
      <c r="F1401" s="64">
        <f t="shared" si="89"/>
        <v>6.14</v>
      </c>
      <c r="G1401" s="23">
        <v>6.14</v>
      </c>
      <c r="H1401" s="24">
        <v>0</v>
      </c>
      <c r="I1401" s="24">
        <v>0</v>
      </c>
      <c r="J1401" s="62">
        <v>0</v>
      </c>
      <c r="K1401" s="36">
        <v>44621</v>
      </c>
    </row>
    <row r="1402" spans="1:11" s="51" customFormat="1" ht="87.6" customHeight="1" x14ac:dyDescent="0.25">
      <c r="A1402" s="22">
        <v>1120</v>
      </c>
      <c r="B1402" s="231"/>
      <c r="C1402" s="125" t="s">
        <v>1682</v>
      </c>
      <c r="D1402" s="63" t="s">
        <v>96</v>
      </c>
      <c r="E1402" s="16" t="s">
        <v>12</v>
      </c>
      <c r="F1402" s="64">
        <f t="shared" si="89"/>
        <v>223.34</v>
      </c>
      <c r="G1402" s="23">
        <v>223.34</v>
      </c>
      <c r="H1402" s="24">
        <v>0</v>
      </c>
      <c r="I1402" s="24">
        <v>0</v>
      </c>
      <c r="J1402" s="24">
        <v>0</v>
      </c>
      <c r="K1402" s="36">
        <v>44621</v>
      </c>
    </row>
    <row r="1403" spans="1:11" s="51" customFormat="1" ht="39.6" x14ac:dyDescent="0.25">
      <c r="A1403" s="22">
        <v>1121</v>
      </c>
      <c r="B1403" s="231"/>
      <c r="C1403" s="25" t="s">
        <v>1683</v>
      </c>
      <c r="D1403" s="63" t="s">
        <v>1684</v>
      </c>
      <c r="E1403" s="16" t="s">
        <v>12</v>
      </c>
      <c r="F1403" s="64">
        <f t="shared" si="89"/>
        <v>21.14</v>
      </c>
      <c r="G1403" s="23">
        <v>21.14</v>
      </c>
      <c r="H1403" s="24">
        <v>0</v>
      </c>
      <c r="I1403" s="24">
        <v>0</v>
      </c>
      <c r="J1403" s="24">
        <v>0</v>
      </c>
      <c r="K1403" s="36">
        <v>44621</v>
      </c>
    </row>
    <row r="1404" spans="1:11" s="51" customFormat="1" ht="26.4" x14ac:dyDescent="0.25">
      <c r="A1404" s="22">
        <v>1122</v>
      </c>
      <c r="B1404" s="231"/>
      <c r="C1404" s="125" t="s">
        <v>1682</v>
      </c>
      <c r="D1404" s="63" t="s">
        <v>1486</v>
      </c>
      <c r="E1404" s="16" t="s">
        <v>12</v>
      </c>
      <c r="F1404" s="64">
        <f t="shared" si="89"/>
        <v>9.24</v>
      </c>
      <c r="G1404" s="23">
        <v>9.24</v>
      </c>
      <c r="H1404" s="24">
        <v>0</v>
      </c>
      <c r="I1404" s="24">
        <v>0</v>
      </c>
      <c r="J1404" s="24">
        <v>0</v>
      </c>
      <c r="K1404" s="36">
        <v>44621</v>
      </c>
    </row>
    <row r="1405" spans="1:11" s="51" customFormat="1" ht="26.4" x14ac:dyDescent="0.25">
      <c r="A1405" s="22">
        <v>1123</v>
      </c>
      <c r="B1405" s="231"/>
      <c r="C1405" s="25" t="s">
        <v>1685</v>
      </c>
      <c r="D1405" s="63" t="s">
        <v>91</v>
      </c>
      <c r="E1405" s="16" t="s">
        <v>12</v>
      </c>
      <c r="F1405" s="64">
        <f t="shared" si="89"/>
        <v>104.56</v>
      </c>
      <c r="G1405" s="23">
        <v>104.56</v>
      </c>
      <c r="H1405" s="24">
        <v>0</v>
      </c>
      <c r="I1405" s="24">
        <v>0</v>
      </c>
      <c r="J1405" s="24">
        <v>0</v>
      </c>
      <c r="K1405" s="36">
        <v>44621</v>
      </c>
    </row>
    <row r="1406" spans="1:11" s="51" customFormat="1" ht="39.6" customHeight="1" x14ac:dyDescent="0.25">
      <c r="A1406" s="22">
        <v>1124</v>
      </c>
      <c r="B1406" s="231"/>
      <c r="C1406" s="25" t="s">
        <v>1686</v>
      </c>
      <c r="D1406" s="63" t="s">
        <v>286</v>
      </c>
      <c r="E1406" s="16" t="s">
        <v>12</v>
      </c>
      <c r="F1406" s="64">
        <f t="shared" si="89"/>
        <v>7.62</v>
      </c>
      <c r="G1406" s="23">
        <v>7.62</v>
      </c>
      <c r="H1406" s="24">
        <v>0</v>
      </c>
      <c r="I1406" s="24">
        <v>0</v>
      </c>
      <c r="J1406" s="24">
        <v>0</v>
      </c>
      <c r="K1406" s="36">
        <v>44621</v>
      </c>
    </row>
    <row r="1407" spans="1:11" s="51" customFormat="1" ht="39.6" customHeight="1" x14ac:dyDescent="0.25">
      <c r="A1407" s="22">
        <v>1125</v>
      </c>
      <c r="B1407" s="231"/>
      <c r="C1407" s="25" t="s">
        <v>1687</v>
      </c>
      <c r="D1407" s="63" t="s">
        <v>286</v>
      </c>
      <c r="E1407" s="16" t="s">
        <v>12</v>
      </c>
      <c r="F1407" s="64">
        <v>21.24</v>
      </c>
      <c r="G1407" s="23">
        <v>21.24</v>
      </c>
      <c r="H1407" s="24">
        <v>0</v>
      </c>
      <c r="I1407" s="24">
        <v>0</v>
      </c>
      <c r="J1407" s="24">
        <v>0</v>
      </c>
      <c r="K1407" s="36">
        <v>44621</v>
      </c>
    </row>
    <row r="1408" spans="1:11" s="51" customFormat="1" ht="40.799999999999997" customHeight="1" x14ac:dyDescent="0.25">
      <c r="A1408" s="22">
        <v>1126</v>
      </c>
      <c r="B1408" s="231"/>
      <c r="C1408" s="25" t="s">
        <v>1688</v>
      </c>
      <c r="D1408" s="63" t="s">
        <v>286</v>
      </c>
      <c r="E1408" s="16" t="s">
        <v>12</v>
      </c>
      <c r="F1408" s="64">
        <f t="shared" si="89"/>
        <v>5.61</v>
      </c>
      <c r="G1408" s="23">
        <v>5.61</v>
      </c>
      <c r="H1408" s="24">
        <v>0</v>
      </c>
      <c r="I1408" s="24">
        <v>0</v>
      </c>
      <c r="J1408" s="24">
        <v>0</v>
      </c>
      <c r="K1408" s="36">
        <v>44621</v>
      </c>
    </row>
    <row r="1409" spans="1:11" s="51" customFormat="1" ht="40.799999999999997" customHeight="1" x14ac:dyDescent="0.25">
      <c r="A1409" s="22">
        <v>1127</v>
      </c>
      <c r="B1409" s="231"/>
      <c r="C1409" s="25" t="s">
        <v>1689</v>
      </c>
      <c r="D1409" s="63" t="s">
        <v>1690</v>
      </c>
      <c r="E1409" s="16" t="s">
        <v>12</v>
      </c>
      <c r="F1409" s="64">
        <f t="shared" si="89"/>
        <v>15</v>
      </c>
      <c r="G1409" s="23">
        <v>15</v>
      </c>
      <c r="H1409" s="24">
        <v>0</v>
      </c>
      <c r="I1409" s="24">
        <v>0</v>
      </c>
      <c r="J1409" s="24">
        <v>0</v>
      </c>
      <c r="K1409" s="36">
        <v>44621</v>
      </c>
    </row>
    <row r="1410" spans="1:11" s="51" customFormat="1" ht="41.4" customHeight="1" x14ac:dyDescent="0.25">
      <c r="A1410" s="22">
        <v>1128</v>
      </c>
      <c r="B1410" s="231"/>
      <c r="C1410" s="25" t="s">
        <v>1691</v>
      </c>
      <c r="D1410" s="63" t="s">
        <v>1692</v>
      </c>
      <c r="E1410" s="16" t="s">
        <v>12</v>
      </c>
      <c r="F1410" s="64">
        <f t="shared" si="89"/>
        <v>61.5</v>
      </c>
      <c r="G1410" s="23">
        <v>61.5</v>
      </c>
      <c r="H1410" s="24">
        <v>0</v>
      </c>
      <c r="I1410" s="24">
        <v>0</v>
      </c>
      <c r="J1410" s="24">
        <v>0</v>
      </c>
      <c r="K1410" s="36">
        <v>44621</v>
      </c>
    </row>
    <row r="1411" spans="1:11" s="51" customFormat="1" ht="49.8" customHeight="1" x14ac:dyDescent="0.25">
      <c r="A1411" s="22">
        <v>1129</v>
      </c>
      <c r="B1411" s="231"/>
      <c r="C1411" s="25" t="s">
        <v>1693</v>
      </c>
      <c r="D1411" s="63" t="s">
        <v>1694</v>
      </c>
      <c r="E1411" s="16" t="s">
        <v>12</v>
      </c>
      <c r="F1411" s="64">
        <f t="shared" si="89"/>
        <v>428.4</v>
      </c>
      <c r="G1411" s="23">
        <v>428.4</v>
      </c>
      <c r="H1411" s="24">
        <v>0</v>
      </c>
      <c r="I1411" s="24">
        <v>0</v>
      </c>
      <c r="J1411" s="24">
        <v>0</v>
      </c>
      <c r="K1411" s="36">
        <v>44621</v>
      </c>
    </row>
    <row r="1412" spans="1:11" s="51" customFormat="1" ht="52.2" customHeight="1" x14ac:dyDescent="0.25">
      <c r="A1412" s="22">
        <v>1130</v>
      </c>
      <c r="B1412" s="231"/>
      <c r="C1412" s="25" t="s">
        <v>1695</v>
      </c>
      <c r="D1412" s="63" t="s">
        <v>1696</v>
      </c>
      <c r="E1412" s="16" t="s">
        <v>12</v>
      </c>
      <c r="F1412" s="64">
        <f t="shared" si="89"/>
        <v>80</v>
      </c>
      <c r="G1412" s="23">
        <v>80</v>
      </c>
      <c r="H1412" s="24">
        <v>0</v>
      </c>
      <c r="I1412" s="24">
        <v>0</v>
      </c>
      <c r="J1412" s="24">
        <v>0</v>
      </c>
      <c r="K1412" s="36">
        <v>44621</v>
      </c>
    </row>
    <row r="1413" spans="1:11" s="51" customFormat="1" ht="43.2" customHeight="1" x14ac:dyDescent="0.25">
      <c r="A1413" s="22">
        <v>1131</v>
      </c>
      <c r="B1413" s="231"/>
      <c r="C1413" s="25" t="s">
        <v>1697</v>
      </c>
      <c r="D1413" s="63" t="s">
        <v>1698</v>
      </c>
      <c r="E1413" s="16" t="s">
        <v>12</v>
      </c>
      <c r="F1413" s="64">
        <f t="shared" si="89"/>
        <v>30</v>
      </c>
      <c r="G1413" s="23">
        <v>30</v>
      </c>
      <c r="H1413" s="24">
        <v>0</v>
      </c>
      <c r="I1413" s="24">
        <v>0</v>
      </c>
      <c r="J1413" s="24">
        <v>0</v>
      </c>
      <c r="K1413" s="36">
        <v>44621</v>
      </c>
    </row>
    <row r="1414" spans="1:11" s="51" customFormat="1" ht="41.4" customHeight="1" x14ac:dyDescent="0.25">
      <c r="A1414" s="22">
        <v>1132</v>
      </c>
      <c r="B1414" s="231"/>
      <c r="C1414" s="25" t="s">
        <v>1699</v>
      </c>
      <c r="D1414" s="63" t="s">
        <v>1700</v>
      </c>
      <c r="E1414" s="16" t="s">
        <v>12</v>
      </c>
      <c r="F1414" s="64">
        <f t="shared" si="89"/>
        <v>7.5</v>
      </c>
      <c r="G1414" s="23">
        <v>7.5</v>
      </c>
      <c r="H1414" s="24">
        <v>0</v>
      </c>
      <c r="I1414" s="24">
        <v>0</v>
      </c>
      <c r="J1414" s="24">
        <v>0</v>
      </c>
      <c r="K1414" s="36">
        <v>44621</v>
      </c>
    </row>
    <row r="1415" spans="1:11" s="51" customFormat="1" ht="55.8" customHeight="1" x14ac:dyDescent="0.25">
      <c r="A1415" s="22">
        <v>1133</v>
      </c>
      <c r="B1415" s="231"/>
      <c r="C1415" s="25" t="s">
        <v>1701</v>
      </c>
      <c r="D1415" s="63" t="s">
        <v>1702</v>
      </c>
      <c r="E1415" s="16" t="s">
        <v>12</v>
      </c>
      <c r="F1415" s="64">
        <f t="shared" si="89"/>
        <v>814.65</v>
      </c>
      <c r="G1415" s="23">
        <v>814.65</v>
      </c>
      <c r="H1415" s="24">
        <v>0</v>
      </c>
      <c r="I1415" s="24">
        <v>0</v>
      </c>
      <c r="J1415" s="24">
        <v>0</v>
      </c>
      <c r="K1415" s="36">
        <v>44652</v>
      </c>
    </row>
    <row r="1416" spans="1:11" s="51" customFormat="1" ht="57" customHeight="1" x14ac:dyDescent="0.25">
      <c r="A1416" s="22">
        <v>1134</v>
      </c>
      <c r="B1416" s="231"/>
      <c r="C1416" s="25" t="s">
        <v>1703</v>
      </c>
      <c r="D1416" s="63" t="s">
        <v>1704</v>
      </c>
      <c r="E1416" s="16" t="s">
        <v>12</v>
      </c>
      <c r="F1416" s="64">
        <f t="shared" si="89"/>
        <v>27</v>
      </c>
      <c r="G1416" s="23">
        <v>27</v>
      </c>
      <c r="H1416" s="24">
        <v>0</v>
      </c>
      <c r="I1416" s="24">
        <v>0</v>
      </c>
      <c r="J1416" s="24">
        <v>0</v>
      </c>
      <c r="K1416" s="36">
        <v>44652</v>
      </c>
    </row>
    <row r="1417" spans="1:11" s="51" customFormat="1" ht="60" customHeight="1" x14ac:dyDescent="0.25">
      <c r="A1417" s="22">
        <v>1135</v>
      </c>
      <c r="B1417" s="231"/>
      <c r="C1417" s="25" t="s">
        <v>1705</v>
      </c>
      <c r="D1417" s="63" t="s">
        <v>1706</v>
      </c>
      <c r="E1417" s="16" t="s">
        <v>12</v>
      </c>
      <c r="F1417" s="64">
        <f t="shared" si="89"/>
        <v>73.5</v>
      </c>
      <c r="G1417" s="23">
        <v>73.5</v>
      </c>
      <c r="H1417" s="24">
        <v>0</v>
      </c>
      <c r="I1417" s="24">
        <v>0</v>
      </c>
      <c r="J1417" s="24">
        <v>0</v>
      </c>
      <c r="K1417" s="36">
        <v>44652</v>
      </c>
    </row>
    <row r="1418" spans="1:11" s="51" customFormat="1" ht="45" customHeight="1" x14ac:dyDescent="0.25">
      <c r="A1418" s="22">
        <v>1136</v>
      </c>
      <c r="B1418" s="231"/>
      <c r="C1418" s="25" t="s">
        <v>1707</v>
      </c>
      <c r="D1418" s="63" t="s">
        <v>1708</v>
      </c>
      <c r="E1418" s="16" t="s">
        <v>12</v>
      </c>
      <c r="F1418" s="64">
        <f t="shared" si="89"/>
        <v>25</v>
      </c>
      <c r="G1418" s="23">
        <v>25</v>
      </c>
      <c r="H1418" s="24">
        <v>0</v>
      </c>
      <c r="I1418" s="24">
        <v>0</v>
      </c>
      <c r="J1418" s="24">
        <v>0</v>
      </c>
      <c r="K1418" s="35">
        <v>44682</v>
      </c>
    </row>
    <row r="1419" spans="1:11" s="51" customFormat="1" ht="43.2" customHeight="1" x14ac:dyDescent="0.25">
      <c r="A1419" s="22">
        <v>1137</v>
      </c>
      <c r="B1419" s="231"/>
      <c r="C1419" s="25" t="s">
        <v>1709</v>
      </c>
      <c r="D1419" s="63" t="s">
        <v>1710</v>
      </c>
      <c r="E1419" s="16" t="s">
        <v>12</v>
      </c>
      <c r="F1419" s="64">
        <f t="shared" si="89"/>
        <v>12.5</v>
      </c>
      <c r="G1419" s="23">
        <v>12.5</v>
      </c>
      <c r="H1419" s="24">
        <v>0</v>
      </c>
      <c r="I1419" s="24">
        <v>0</v>
      </c>
      <c r="J1419" s="24">
        <v>0</v>
      </c>
      <c r="K1419" s="35">
        <v>44682</v>
      </c>
    </row>
    <row r="1420" spans="1:11" s="51" customFormat="1" ht="39" customHeight="1" x14ac:dyDescent="0.25">
      <c r="A1420" s="22">
        <v>1138</v>
      </c>
      <c r="B1420" s="231"/>
      <c r="C1420" s="25" t="s">
        <v>1711</v>
      </c>
      <c r="D1420" s="63" t="s">
        <v>1712</v>
      </c>
      <c r="E1420" s="16" t="s">
        <v>12</v>
      </c>
      <c r="F1420" s="64">
        <f t="shared" si="89"/>
        <v>44.4</v>
      </c>
      <c r="G1420" s="23">
        <v>44.4</v>
      </c>
      <c r="H1420" s="24">
        <v>0</v>
      </c>
      <c r="I1420" s="24">
        <v>0</v>
      </c>
      <c r="J1420" s="24">
        <v>0</v>
      </c>
      <c r="K1420" s="36">
        <v>44713</v>
      </c>
    </row>
    <row r="1421" spans="1:11" s="51" customFormat="1" ht="38.4" customHeight="1" x14ac:dyDescent="0.25">
      <c r="A1421" s="22">
        <v>1139</v>
      </c>
      <c r="B1421" s="231"/>
      <c r="C1421" s="25" t="s">
        <v>1713</v>
      </c>
      <c r="D1421" s="63" t="s">
        <v>1714</v>
      </c>
      <c r="E1421" s="16" t="s">
        <v>12</v>
      </c>
      <c r="F1421" s="64">
        <f t="shared" si="89"/>
        <v>160</v>
      </c>
      <c r="G1421" s="23">
        <v>160</v>
      </c>
      <c r="H1421" s="24">
        <v>0</v>
      </c>
      <c r="I1421" s="24">
        <v>0</v>
      </c>
      <c r="J1421" s="24">
        <v>0</v>
      </c>
      <c r="K1421" s="36">
        <v>44713</v>
      </c>
    </row>
    <row r="1422" spans="1:11" s="51" customFormat="1" ht="37.200000000000003" customHeight="1" x14ac:dyDescent="0.25">
      <c r="A1422" s="22">
        <v>1140</v>
      </c>
      <c r="B1422" s="231"/>
      <c r="C1422" s="25" t="s">
        <v>1715</v>
      </c>
      <c r="D1422" s="63" t="s">
        <v>1716</v>
      </c>
      <c r="E1422" s="16" t="s">
        <v>12</v>
      </c>
      <c r="F1422" s="64">
        <f t="shared" si="89"/>
        <v>136.5</v>
      </c>
      <c r="G1422" s="23">
        <v>136.5</v>
      </c>
      <c r="H1422" s="24">
        <v>0</v>
      </c>
      <c r="I1422" s="24">
        <v>0</v>
      </c>
      <c r="J1422" s="24">
        <v>0</v>
      </c>
      <c r="K1422" s="36">
        <v>44713</v>
      </c>
    </row>
    <row r="1423" spans="1:11" s="51" customFormat="1" ht="46.2" customHeight="1" x14ac:dyDescent="0.25">
      <c r="A1423" s="22">
        <v>1141</v>
      </c>
      <c r="B1423" s="231"/>
      <c r="C1423" s="25" t="s">
        <v>1717</v>
      </c>
      <c r="D1423" s="63" t="s">
        <v>1718</v>
      </c>
      <c r="E1423" s="16" t="s">
        <v>12</v>
      </c>
      <c r="F1423" s="64">
        <f t="shared" si="89"/>
        <v>30</v>
      </c>
      <c r="G1423" s="23">
        <v>30</v>
      </c>
      <c r="H1423" s="24">
        <v>0</v>
      </c>
      <c r="I1423" s="24">
        <v>0</v>
      </c>
      <c r="J1423" s="24">
        <v>0</v>
      </c>
      <c r="K1423" s="36">
        <v>44713</v>
      </c>
    </row>
    <row r="1424" spans="1:11" s="51" customFormat="1" ht="57.6" customHeight="1" x14ac:dyDescent="0.25">
      <c r="A1424" s="22">
        <v>1142</v>
      </c>
      <c r="B1424" s="231"/>
      <c r="C1424" s="25" t="s">
        <v>1719</v>
      </c>
      <c r="D1424" s="63" t="s">
        <v>1720</v>
      </c>
      <c r="E1424" s="16" t="s">
        <v>12</v>
      </c>
      <c r="F1424" s="64">
        <f t="shared" si="89"/>
        <v>32</v>
      </c>
      <c r="G1424" s="23">
        <v>32</v>
      </c>
      <c r="H1424" s="24">
        <v>0</v>
      </c>
      <c r="I1424" s="24">
        <v>0</v>
      </c>
      <c r="J1424" s="24">
        <v>0</v>
      </c>
      <c r="K1424" s="36">
        <v>44805</v>
      </c>
    </row>
    <row r="1425" spans="1:11" s="51" customFormat="1" ht="111" customHeight="1" x14ac:dyDescent="0.25">
      <c r="A1425" s="22">
        <v>1143</v>
      </c>
      <c r="B1425" s="231"/>
      <c r="C1425" s="125" t="s">
        <v>1721</v>
      </c>
      <c r="D1425" s="63" t="s">
        <v>101</v>
      </c>
      <c r="E1425" s="16" t="s">
        <v>12</v>
      </c>
      <c r="F1425" s="64">
        <f t="shared" si="89"/>
        <v>99.2</v>
      </c>
      <c r="G1425" s="23">
        <v>99.2</v>
      </c>
      <c r="H1425" s="24">
        <v>0</v>
      </c>
      <c r="I1425" s="24">
        <v>0</v>
      </c>
      <c r="J1425" s="24">
        <v>0</v>
      </c>
      <c r="K1425" s="35">
        <v>44866</v>
      </c>
    </row>
    <row r="1426" spans="1:11" s="51" customFormat="1" ht="109.2" customHeight="1" x14ac:dyDescent="0.25">
      <c r="A1426" s="22">
        <v>1144</v>
      </c>
      <c r="B1426" s="231"/>
      <c r="C1426" s="25" t="s">
        <v>1722</v>
      </c>
      <c r="D1426" s="63" t="s">
        <v>1723</v>
      </c>
      <c r="E1426" s="16" t="s">
        <v>12</v>
      </c>
      <c r="F1426" s="64">
        <f t="shared" si="89"/>
        <v>396.74</v>
      </c>
      <c r="G1426" s="23">
        <v>0</v>
      </c>
      <c r="H1426" s="24">
        <v>396.74</v>
      </c>
      <c r="I1426" s="23">
        <v>0</v>
      </c>
      <c r="J1426" s="23">
        <v>0</v>
      </c>
      <c r="K1426" s="35">
        <v>44866</v>
      </c>
    </row>
    <row r="1427" spans="1:11" s="51" customFormat="1" ht="75" customHeight="1" x14ac:dyDescent="0.25">
      <c r="A1427" s="22">
        <v>1145</v>
      </c>
      <c r="B1427" s="231"/>
      <c r="C1427" s="25" t="s">
        <v>1724</v>
      </c>
      <c r="D1427" s="63" t="s">
        <v>1725</v>
      </c>
      <c r="E1427" s="16" t="s">
        <v>12</v>
      </c>
      <c r="F1427" s="64">
        <f t="shared" si="89"/>
        <v>253.77</v>
      </c>
      <c r="G1427" s="23">
        <v>0</v>
      </c>
      <c r="H1427" s="24">
        <v>253.77</v>
      </c>
      <c r="I1427" s="23">
        <v>0</v>
      </c>
      <c r="J1427" s="23">
        <v>0</v>
      </c>
      <c r="K1427" s="35">
        <v>44866</v>
      </c>
    </row>
    <row r="1428" spans="1:11" s="51" customFormat="1" ht="95.4" customHeight="1" x14ac:dyDescent="0.25">
      <c r="A1428" s="22">
        <v>1146</v>
      </c>
      <c r="B1428" s="231"/>
      <c r="C1428" s="25" t="s">
        <v>1726</v>
      </c>
      <c r="D1428" s="63" t="s">
        <v>1727</v>
      </c>
      <c r="E1428" s="16" t="s">
        <v>12</v>
      </c>
      <c r="F1428" s="64">
        <f t="shared" si="89"/>
        <v>89.29</v>
      </c>
      <c r="G1428" s="23">
        <v>0</v>
      </c>
      <c r="H1428" s="24">
        <v>89.29</v>
      </c>
      <c r="I1428" s="23">
        <v>0</v>
      </c>
      <c r="J1428" s="23">
        <v>0</v>
      </c>
      <c r="K1428" s="35">
        <v>44866</v>
      </c>
    </row>
    <row r="1429" spans="1:11" s="51" customFormat="1" ht="65.400000000000006" customHeight="1" x14ac:dyDescent="0.25">
      <c r="A1429" s="22">
        <v>1147</v>
      </c>
      <c r="B1429" s="231"/>
      <c r="C1429" s="25" t="s">
        <v>1728</v>
      </c>
      <c r="D1429" s="63" t="s">
        <v>1729</v>
      </c>
      <c r="E1429" s="16" t="s">
        <v>12</v>
      </c>
      <c r="F1429" s="64">
        <f t="shared" si="89"/>
        <v>525.01</v>
      </c>
      <c r="G1429" s="23">
        <v>0</v>
      </c>
      <c r="H1429" s="24">
        <v>525.01</v>
      </c>
      <c r="I1429" s="23">
        <v>0</v>
      </c>
      <c r="J1429" s="23">
        <v>0</v>
      </c>
      <c r="K1429" s="35">
        <v>44866</v>
      </c>
    </row>
    <row r="1430" spans="1:11" s="51" customFormat="1" ht="37.200000000000003" customHeight="1" x14ac:dyDescent="0.25">
      <c r="A1430" s="22">
        <v>1148</v>
      </c>
      <c r="B1430" s="231"/>
      <c r="C1430" s="25" t="s">
        <v>1730</v>
      </c>
      <c r="D1430" s="63" t="s">
        <v>49</v>
      </c>
      <c r="E1430" s="16" t="s">
        <v>12</v>
      </c>
      <c r="F1430" s="64">
        <f t="shared" si="89"/>
        <v>951.87</v>
      </c>
      <c r="G1430" s="23">
        <v>0</v>
      </c>
      <c r="H1430" s="24">
        <v>951.87</v>
      </c>
      <c r="I1430" s="23">
        <v>0</v>
      </c>
      <c r="J1430" s="23">
        <v>0</v>
      </c>
      <c r="K1430" s="35">
        <v>44866</v>
      </c>
    </row>
    <row r="1431" spans="1:11" s="51" customFormat="1" ht="43.8" customHeight="1" x14ac:dyDescent="0.25">
      <c r="A1431" s="22">
        <v>1149</v>
      </c>
      <c r="B1431" s="231"/>
      <c r="C1431" s="25" t="s">
        <v>1731</v>
      </c>
      <c r="D1431" s="63" t="s">
        <v>1308</v>
      </c>
      <c r="E1431" s="16" t="s">
        <v>12</v>
      </c>
      <c r="F1431" s="64">
        <f t="shared" si="89"/>
        <v>2830.28</v>
      </c>
      <c r="G1431" s="23">
        <v>0</v>
      </c>
      <c r="H1431" s="24">
        <v>2830.28</v>
      </c>
      <c r="I1431" s="23">
        <v>0</v>
      </c>
      <c r="J1431" s="23">
        <v>0</v>
      </c>
      <c r="K1431" s="35">
        <v>44866</v>
      </c>
    </row>
    <row r="1432" spans="1:11" s="51" customFormat="1" ht="29.4" customHeight="1" x14ac:dyDescent="0.25">
      <c r="A1432" s="245" t="s">
        <v>1732</v>
      </c>
      <c r="B1432" s="245"/>
      <c r="C1432" s="245"/>
      <c r="D1432" s="245"/>
      <c r="E1432" s="150"/>
      <c r="F1432" s="151">
        <f>SUM(F1399:F1431)</f>
        <v>7564.5599999999995</v>
      </c>
      <c r="G1432" s="151">
        <f>SUM(G1399:G1431)</f>
        <v>2517.6</v>
      </c>
      <c r="H1432" s="151">
        <f>SUM(H1399:H1431)</f>
        <v>5046.96</v>
      </c>
      <c r="I1432" s="151">
        <f>SUM(I1399:I1431)</f>
        <v>0</v>
      </c>
      <c r="J1432" s="151">
        <f>SUM(J1399:J1431)</f>
        <v>0</v>
      </c>
      <c r="K1432" s="38"/>
    </row>
    <row r="1433" spans="1:11" s="51" customFormat="1" ht="42" customHeight="1" x14ac:dyDescent="0.25">
      <c r="A1433" s="22">
        <v>1150</v>
      </c>
      <c r="B1433" s="197" t="s">
        <v>1675</v>
      </c>
      <c r="C1433" s="25" t="s">
        <v>1733</v>
      </c>
      <c r="D1433" s="136" t="s">
        <v>286</v>
      </c>
      <c r="E1433" s="16" t="s">
        <v>12</v>
      </c>
      <c r="F1433" s="64">
        <f t="shared" ref="F1433:F1464" si="90">G1433+H1433+I1433+J1433</f>
        <v>5.39</v>
      </c>
      <c r="G1433" s="24">
        <v>0</v>
      </c>
      <c r="H1433" s="24">
        <v>5.39</v>
      </c>
      <c r="I1433" s="24">
        <v>0</v>
      </c>
      <c r="J1433" s="24">
        <v>0</v>
      </c>
      <c r="K1433" s="36">
        <v>44958</v>
      </c>
    </row>
    <row r="1434" spans="1:11" s="51" customFormat="1" ht="78" customHeight="1" x14ac:dyDescent="0.25">
      <c r="A1434" s="22">
        <v>1151</v>
      </c>
      <c r="B1434" s="231"/>
      <c r="C1434" s="25" t="s">
        <v>1734</v>
      </c>
      <c r="D1434" s="136" t="s">
        <v>96</v>
      </c>
      <c r="E1434" s="16" t="s">
        <v>12</v>
      </c>
      <c r="F1434" s="64">
        <f t="shared" si="90"/>
        <v>288.68</v>
      </c>
      <c r="G1434" s="24">
        <v>0</v>
      </c>
      <c r="H1434" s="24">
        <v>288.68</v>
      </c>
      <c r="I1434" s="24">
        <v>0</v>
      </c>
      <c r="J1434" s="24">
        <v>0</v>
      </c>
      <c r="K1434" s="36">
        <v>44958</v>
      </c>
    </row>
    <row r="1435" spans="1:11" s="51" customFormat="1" ht="26.4" x14ac:dyDescent="0.25">
      <c r="A1435" s="22">
        <v>1152</v>
      </c>
      <c r="B1435" s="231"/>
      <c r="C1435" s="25" t="s">
        <v>1735</v>
      </c>
      <c r="D1435" s="136" t="s">
        <v>1736</v>
      </c>
      <c r="E1435" s="16" t="s">
        <v>12</v>
      </c>
      <c r="F1435" s="64">
        <f t="shared" si="90"/>
        <v>6</v>
      </c>
      <c r="G1435" s="24">
        <v>0</v>
      </c>
      <c r="H1435" s="24">
        <v>6</v>
      </c>
      <c r="I1435" s="24">
        <v>0</v>
      </c>
      <c r="J1435" s="24">
        <v>0</v>
      </c>
      <c r="K1435" s="36">
        <v>44958</v>
      </c>
    </row>
    <row r="1436" spans="1:11" s="51" customFormat="1" ht="39.6" customHeight="1" x14ac:dyDescent="0.25">
      <c r="A1436" s="22">
        <v>1153</v>
      </c>
      <c r="B1436" s="231"/>
      <c r="C1436" s="25" t="s">
        <v>1737</v>
      </c>
      <c r="D1436" s="136" t="s">
        <v>1677</v>
      </c>
      <c r="E1436" s="16" t="s">
        <v>12</v>
      </c>
      <c r="F1436" s="64">
        <f t="shared" si="90"/>
        <v>10.6</v>
      </c>
      <c r="G1436" s="24">
        <v>0</v>
      </c>
      <c r="H1436" s="24">
        <v>10.6</v>
      </c>
      <c r="I1436" s="24">
        <v>0</v>
      </c>
      <c r="J1436" s="24">
        <v>0</v>
      </c>
      <c r="K1436" s="36">
        <v>44958</v>
      </c>
    </row>
    <row r="1437" spans="1:11" s="51" customFormat="1" ht="42" customHeight="1" x14ac:dyDescent="0.25">
      <c r="A1437" s="22">
        <v>1154</v>
      </c>
      <c r="B1437" s="231"/>
      <c r="C1437" s="25" t="s">
        <v>1738</v>
      </c>
      <c r="D1437" s="136" t="s">
        <v>1679</v>
      </c>
      <c r="E1437" s="16" t="s">
        <v>12</v>
      </c>
      <c r="F1437" s="64">
        <f t="shared" si="90"/>
        <v>30.96</v>
      </c>
      <c r="G1437" s="24">
        <v>0</v>
      </c>
      <c r="H1437" s="24">
        <v>30.96</v>
      </c>
      <c r="I1437" s="24">
        <v>0</v>
      </c>
      <c r="J1437" s="24">
        <v>0</v>
      </c>
      <c r="K1437" s="36">
        <v>44958</v>
      </c>
    </row>
    <row r="1438" spans="1:11" s="51" customFormat="1" ht="51" customHeight="1" x14ac:dyDescent="0.25">
      <c r="A1438" s="22">
        <v>1155</v>
      </c>
      <c r="B1438" s="231"/>
      <c r="C1438" s="25" t="s">
        <v>1739</v>
      </c>
      <c r="D1438" s="136" t="s">
        <v>1720</v>
      </c>
      <c r="E1438" s="16" t="s">
        <v>12</v>
      </c>
      <c r="F1438" s="64">
        <f t="shared" si="90"/>
        <v>32</v>
      </c>
      <c r="G1438" s="24">
        <v>0</v>
      </c>
      <c r="H1438" s="24">
        <v>32</v>
      </c>
      <c r="I1438" s="24">
        <v>0</v>
      </c>
      <c r="J1438" s="24">
        <v>0</v>
      </c>
      <c r="K1438" s="36">
        <v>44958</v>
      </c>
    </row>
    <row r="1439" spans="1:11" s="51" customFormat="1" ht="36" customHeight="1" x14ac:dyDescent="0.25">
      <c r="A1439" s="22">
        <v>1156</v>
      </c>
      <c r="B1439" s="231"/>
      <c r="C1439" s="25" t="s">
        <v>1740</v>
      </c>
      <c r="D1439" s="136" t="s">
        <v>91</v>
      </c>
      <c r="E1439" s="16" t="s">
        <v>12</v>
      </c>
      <c r="F1439" s="64">
        <f t="shared" si="90"/>
        <v>104.56</v>
      </c>
      <c r="G1439" s="24">
        <v>0</v>
      </c>
      <c r="H1439" s="24">
        <v>104.56</v>
      </c>
      <c r="I1439" s="24">
        <v>0</v>
      </c>
      <c r="J1439" s="24">
        <v>0</v>
      </c>
      <c r="K1439" s="36">
        <v>44986</v>
      </c>
    </row>
    <row r="1440" spans="1:11" s="51" customFormat="1" ht="34.799999999999997" customHeight="1" x14ac:dyDescent="0.25">
      <c r="A1440" s="22">
        <v>1157</v>
      </c>
      <c r="B1440" s="231"/>
      <c r="C1440" s="25" t="s">
        <v>1741</v>
      </c>
      <c r="D1440" s="136" t="s">
        <v>286</v>
      </c>
      <c r="E1440" s="16" t="s">
        <v>12</v>
      </c>
      <c r="F1440" s="64">
        <f t="shared" si="90"/>
        <v>7.62</v>
      </c>
      <c r="G1440" s="24">
        <v>0</v>
      </c>
      <c r="H1440" s="24">
        <v>7.62</v>
      </c>
      <c r="I1440" s="24">
        <v>0</v>
      </c>
      <c r="J1440" s="24">
        <v>0</v>
      </c>
      <c r="K1440" s="36">
        <v>44986</v>
      </c>
    </row>
    <row r="1441" spans="1:11" s="51" customFormat="1" ht="33.6" customHeight="1" x14ac:dyDescent="0.25">
      <c r="A1441" s="22">
        <v>1158</v>
      </c>
      <c r="B1441" s="231"/>
      <c r="C1441" s="25" t="s">
        <v>1742</v>
      </c>
      <c r="D1441" s="136" t="s">
        <v>286</v>
      </c>
      <c r="E1441" s="16" t="s">
        <v>12</v>
      </c>
      <c r="F1441" s="64">
        <f t="shared" si="90"/>
        <v>21.31</v>
      </c>
      <c r="G1441" s="24">
        <v>0</v>
      </c>
      <c r="H1441" s="24">
        <v>21.31</v>
      </c>
      <c r="I1441" s="24">
        <v>0</v>
      </c>
      <c r="J1441" s="24">
        <v>0</v>
      </c>
      <c r="K1441" s="36">
        <v>44986</v>
      </c>
    </row>
    <row r="1442" spans="1:11" s="51" customFormat="1" ht="45.6" customHeight="1" x14ac:dyDescent="0.25">
      <c r="A1442" s="22">
        <v>1159</v>
      </c>
      <c r="B1442" s="231"/>
      <c r="C1442" s="25" t="s">
        <v>1733</v>
      </c>
      <c r="D1442" s="136" t="s">
        <v>286</v>
      </c>
      <c r="E1442" s="16" t="s">
        <v>12</v>
      </c>
      <c r="F1442" s="64">
        <f t="shared" si="90"/>
        <v>5.61</v>
      </c>
      <c r="G1442" s="24">
        <v>0</v>
      </c>
      <c r="H1442" s="24">
        <v>5.61</v>
      </c>
      <c r="I1442" s="24">
        <v>0</v>
      </c>
      <c r="J1442" s="24">
        <v>0</v>
      </c>
      <c r="K1442" s="36">
        <v>44986</v>
      </c>
    </row>
    <row r="1443" spans="1:11" s="51" customFormat="1" ht="41.4" customHeight="1" x14ac:dyDescent="0.25">
      <c r="A1443" s="22">
        <v>1160</v>
      </c>
      <c r="B1443" s="231"/>
      <c r="C1443" s="25" t="s">
        <v>1743</v>
      </c>
      <c r="D1443" s="136" t="s">
        <v>1486</v>
      </c>
      <c r="E1443" s="16" t="s">
        <v>12</v>
      </c>
      <c r="F1443" s="64">
        <f t="shared" si="90"/>
        <v>10.6</v>
      </c>
      <c r="G1443" s="24">
        <v>0</v>
      </c>
      <c r="H1443" s="24">
        <v>10.6</v>
      </c>
      <c r="I1443" s="24">
        <v>0</v>
      </c>
      <c r="J1443" s="24">
        <v>0</v>
      </c>
      <c r="K1443" s="36">
        <v>44986</v>
      </c>
    </row>
    <row r="1444" spans="1:11" s="51" customFormat="1" ht="42" customHeight="1" x14ac:dyDescent="0.25">
      <c r="A1444" s="22">
        <v>1161</v>
      </c>
      <c r="B1444" s="231"/>
      <c r="C1444" s="25" t="s">
        <v>1744</v>
      </c>
      <c r="D1444" s="136" t="s">
        <v>1684</v>
      </c>
      <c r="E1444" s="16" t="s">
        <v>12</v>
      </c>
      <c r="F1444" s="64">
        <f t="shared" si="90"/>
        <v>21.2</v>
      </c>
      <c r="G1444" s="24">
        <v>0</v>
      </c>
      <c r="H1444" s="24">
        <v>21.2</v>
      </c>
      <c r="I1444" s="24">
        <v>0</v>
      </c>
      <c r="J1444" s="24">
        <v>0</v>
      </c>
      <c r="K1444" s="36">
        <v>44986</v>
      </c>
    </row>
    <row r="1445" spans="1:11" s="51" customFormat="1" ht="41.4" customHeight="1" x14ac:dyDescent="0.25">
      <c r="A1445" s="22">
        <v>1162</v>
      </c>
      <c r="B1445" s="231"/>
      <c r="C1445" s="25" t="s">
        <v>1745</v>
      </c>
      <c r="D1445" s="136" t="s">
        <v>1684</v>
      </c>
      <c r="E1445" s="16" t="s">
        <v>12</v>
      </c>
      <c r="F1445" s="64">
        <f t="shared" si="90"/>
        <v>150.08000000000001</v>
      </c>
      <c r="G1445" s="24">
        <v>0</v>
      </c>
      <c r="H1445" s="24">
        <v>150.08000000000001</v>
      </c>
      <c r="I1445" s="24">
        <v>0</v>
      </c>
      <c r="J1445" s="24">
        <v>0</v>
      </c>
      <c r="K1445" s="36">
        <v>44986</v>
      </c>
    </row>
    <row r="1446" spans="1:11" s="51" customFormat="1" ht="26.4" x14ac:dyDescent="0.25">
      <c r="A1446" s="22">
        <v>1163</v>
      </c>
      <c r="B1446" s="231"/>
      <c r="C1446" s="25" t="s">
        <v>1746</v>
      </c>
      <c r="D1446" s="136" t="s">
        <v>1690</v>
      </c>
      <c r="E1446" s="16" t="s">
        <v>12</v>
      </c>
      <c r="F1446" s="64">
        <f t="shared" si="90"/>
        <v>15</v>
      </c>
      <c r="G1446" s="24">
        <v>0</v>
      </c>
      <c r="H1446" s="24">
        <v>15</v>
      </c>
      <c r="I1446" s="24">
        <v>0</v>
      </c>
      <c r="J1446" s="24">
        <v>0</v>
      </c>
      <c r="K1446" s="36">
        <v>44986</v>
      </c>
    </row>
    <row r="1447" spans="1:11" s="51" customFormat="1" ht="49.8" customHeight="1" x14ac:dyDescent="0.25">
      <c r="A1447" s="22">
        <v>1164</v>
      </c>
      <c r="B1447" s="231"/>
      <c r="C1447" s="25" t="s">
        <v>1747</v>
      </c>
      <c r="D1447" s="136" t="s">
        <v>1694</v>
      </c>
      <c r="E1447" s="16" t="s">
        <v>12</v>
      </c>
      <c r="F1447" s="64">
        <f t="shared" si="90"/>
        <v>428.4</v>
      </c>
      <c r="G1447" s="24">
        <v>0</v>
      </c>
      <c r="H1447" s="24">
        <v>428.4</v>
      </c>
      <c r="I1447" s="24">
        <v>0</v>
      </c>
      <c r="J1447" s="24">
        <v>0</v>
      </c>
      <c r="K1447" s="36">
        <v>44986</v>
      </c>
    </row>
    <row r="1448" spans="1:11" s="51" customFormat="1" ht="37.200000000000003" customHeight="1" x14ac:dyDescent="0.25">
      <c r="A1448" s="22">
        <v>1165</v>
      </c>
      <c r="B1448" s="231"/>
      <c r="C1448" s="25" t="s">
        <v>1748</v>
      </c>
      <c r="D1448" s="136" t="s">
        <v>1700</v>
      </c>
      <c r="E1448" s="16" t="s">
        <v>12</v>
      </c>
      <c r="F1448" s="64">
        <f t="shared" si="90"/>
        <v>7.5</v>
      </c>
      <c r="G1448" s="24">
        <v>0</v>
      </c>
      <c r="H1448" s="24">
        <v>7.5</v>
      </c>
      <c r="I1448" s="24">
        <v>0</v>
      </c>
      <c r="J1448" s="24">
        <v>0</v>
      </c>
      <c r="K1448" s="36">
        <v>45017</v>
      </c>
    </row>
    <row r="1449" spans="1:11" s="51" customFormat="1" ht="42.6" customHeight="1" x14ac:dyDescent="0.25">
      <c r="A1449" s="22">
        <v>1166</v>
      </c>
      <c r="B1449" s="231"/>
      <c r="C1449" s="25" t="s">
        <v>1749</v>
      </c>
      <c r="D1449" s="136" t="s">
        <v>1698</v>
      </c>
      <c r="E1449" s="16" t="s">
        <v>12</v>
      </c>
      <c r="F1449" s="64">
        <f t="shared" si="90"/>
        <v>30</v>
      </c>
      <c r="G1449" s="24">
        <v>0</v>
      </c>
      <c r="H1449" s="24">
        <v>30</v>
      </c>
      <c r="I1449" s="24">
        <v>0</v>
      </c>
      <c r="J1449" s="24">
        <v>0</v>
      </c>
      <c r="K1449" s="36">
        <v>45017</v>
      </c>
    </row>
    <row r="1450" spans="1:11" s="51" customFormat="1" ht="49.2" customHeight="1" x14ac:dyDescent="0.25">
      <c r="A1450" s="22">
        <v>1167</v>
      </c>
      <c r="B1450" s="231"/>
      <c r="C1450" s="25" t="s">
        <v>1750</v>
      </c>
      <c r="D1450" s="136" t="s">
        <v>1704</v>
      </c>
      <c r="E1450" s="16" t="s">
        <v>12</v>
      </c>
      <c r="F1450" s="64">
        <f t="shared" si="90"/>
        <v>27</v>
      </c>
      <c r="G1450" s="24">
        <v>0</v>
      </c>
      <c r="H1450" s="24">
        <v>27</v>
      </c>
      <c r="I1450" s="24">
        <v>0</v>
      </c>
      <c r="J1450" s="24">
        <v>0</v>
      </c>
      <c r="K1450" s="36">
        <v>45017</v>
      </c>
    </row>
    <row r="1451" spans="1:11" s="51" customFormat="1" ht="65.400000000000006" customHeight="1" x14ac:dyDescent="0.25">
      <c r="A1451" s="22">
        <v>1168</v>
      </c>
      <c r="B1451" s="231"/>
      <c r="C1451" s="25" t="s">
        <v>1751</v>
      </c>
      <c r="D1451" s="136" t="s">
        <v>1752</v>
      </c>
      <c r="E1451" s="16" t="s">
        <v>12</v>
      </c>
      <c r="F1451" s="64">
        <f t="shared" si="90"/>
        <v>80</v>
      </c>
      <c r="G1451" s="24">
        <v>0</v>
      </c>
      <c r="H1451" s="24">
        <v>80</v>
      </c>
      <c r="I1451" s="24">
        <v>0</v>
      </c>
      <c r="J1451" s="24">
        <v>0</v>
      </c>
      <c r="K1451" s="36">
        <v>45017</v>
      </c>
    </row>
    <row r="1452" spans="1:11" s="51" customFormat="1" ht="52.8" customHeight="1" x14ac:dyDescent="0.25">
      <c r="A1452" s="22">
        <v>1169</v>
      </c>
      <c r="B1452" s="231"/>
      <c r="C1452" s="25" t="s">
        <v>1753</v>
      </c>
      <c r="D1452" s="136" t="s">
        <v>1706</v>
      </c>
      <c r="E1452" s="16" t="s">
        <v>12</v>
      </c>
      <c r="F1452" s="64">
        <f t="shared" si="90"/>
        <v>73.5</v>
      </c>
      <c r="G1452" s="24">
        <v>0</v>
      </c>
      <c r="H1452" s="24">
        <v>73.5</v>
      </c>
      <c r="I1452" s="24">
        <v>0</v>
      </c>
      <c r="J1452" s="24">
        <v>0</v>
      </c>
      <c r="K1452" s="36">
        <v>45017</v>
      </c>
    </row>
    <row r="1453" spans="1:11" s="51" customFormat="1" ht="35.4" customHeight="1" x14ac:dyDescent="0.25">
      <c r="A1453" s="22">
        <v>1170</v>
      </c>
      <c r="B1453" s="231"/>
      <c r="C1453" s="25" t="s">
        <v>1754</v>
      </c>
      <c r="D1453" s="136" t="s">
        <v>1714</v>
      </c>
      <c r="E1453" s="16" t="s">
        <v>12</v>
      </c>
      <c r="F1453" s="64">
        <f t="shared" si="90"/>
        <v>160</v>
      </c>
      <c r="G1453" s="24">
        <v>0</v>
      </c>
      <c r="H1453" s="24">
        <v>160</v>
      </c>
      <c r="I1453" s="24">
        <v>0</v>
      </c>
      <c r="J1453" s="24">
        <v>0</v>
      </c>
      <c r="K1453" s="36">
        <v>45047</v>
      </c>
    </row>
    <row r="1454" spans="1:11" s="51" customFormat="1" ht="35.4" customHeight="1" x14ac:dyDescent="0.25">
      <c r="A1454" s="22">
        <v>1171</v>
      </c>
      <c r="B1454" s="231"/>
      <c r="C1454" s="25" t="s">
        <v>1755</v>
      </c>
      <c r="D1454" s="136" t="s">
        <v>1708</v>
      </c>
      <c r="E1454" s="16" t="s">
        <v>12</v>
      </c>
      <c r="F1454" s="64">
        <f t="shared" si="90"/>
        <v>25</v>
      </c>
      <c r="G1454" s="24">
        <v>0</v>
      </c>
      <c r="H1454" s="24">
        <v>25</v>
      </c>
      <c r="I1454" s="24">
        <v>0</v>
      </c>
      <c r="J1454" s="24">
        <v>0</v>
      </c>
      <c r="K1454" s="36">
        <v>45047</v>
      </c>
    </row>
    <row r="1455" spans="1:11" s="51" customFormat="1" ht="40.799999999999997" customHeight="1" x14ac:dyDescent="0.25">
      <c r="A1455" s="22">
        <v>1172</v>
      </c>
      <c r="B1455" s="231"/>
      <c r="C1455" s="25" t="s">
        <v>1756</v>
      </c>
      <c r="D1455" s="136" t="s">
        <v>1710</v>
      </c>
      <c r="E1455" s="16" t="s">
        <v>12</v>
      </c>
      <c r="F1455" s="64">
        <f t="shared" si="90"/>
        <v>12.5</v>
      </c>
      <c r="G1455" s="24">
        <v>0</v>
      </c>
      <c r="H1455" s="24">
        <v>12.5</v>
      </c>
      <c r="I1455" s="24">
        <v>0</v>
      </c>
      <c r="J1455" s="24">
        <v>0</v>
      </c>
      <c r="K1455" s="36">
        <v>45047</v>
      </c>
    </row>
    <row r="1456" spans="1:11" s="51" customFormat="1" ht="39" customHeight="1" x14ac:dyDescent="0.25">
      <c r="A1456" s="22">
        <v>1173</v>
      </c>
      <c r="B1456" s="231"/>
      <c r="C1456" s="25" t="s">
        <v>1757</v>
      </c>
      <c r="D1456" s="136" t="s">
        <v>1712</v>
      </c>
      <c r="E1456" s="16" t="s">
        <v>12</v>
      </c>
      <c r="F1456" s="64">
        <f t="shared" si="90"/>
        <v>44.4</v>
      </c>
      <c r="G1456" s="24">
        <v>0</v>
      </c>
      <c r="H1456" s="24">
        <v>44.4</v>
      </c>
      <c r="I1456" s="24">
        <v>0</v>
      </c>
      <c r="J1456" s="24">
        <v>0</v>
      </c>
      <c r="K1456" s="36">
        <v>45047</v>
      </c>
    </row>
    <row r="1457" spans="1:11" s="51" customFormat="1" ht="44.4" customHeight="1" x14ac:dyDescent="0.25">
      <c r="A1457" s="22">
        <v>1174</v>
      </c>
      <c r="B1457" s="231"/>
      <c r="C1457" s="25" t="s">
        <v>1758</v>
      </c>
      <c r="D1457" s="136" t="s">
        <v>1718</v>
      </c>
      <c r="E1457" s="16" t="s">
        <v>12</v>
      </c>
      <c r="F1457" s="64">
        <f t="shared" si="90"/>
        <v>30</v>
      </c>
      <c r="G1457" s="24">
        <v>0</v>
      </c>
      <c r="H1457" s="24">
        <v>30</v>
      </c>
      <c r="I1457" s="24">
        <v>0</v>
      </c>
      <c r="J1457" s="24">
        <v>0</v>
      </c>
      <c r="K1457" s="36">
        <v>45078</v>
      </c>
    </row>
    <row r="1458" spans="1:11" s="51" customFormat="1" ht="109.2" customHeight="1" x14ac:dyDescent="0.25">
      <c r="A1458" s="22">
        <v>1175</v>
      </c>
      <c r="B1458" s="231"/>
      <c r="C1458" s="25" t="s">
        <v>1759</v>
      </c>
      <c r="D1458" s="63" t="s">
        <v>101</v>
      </c>
      <c r="E1458" s="16" t="s">
        <v>12</v>
      </c>
      <c r="F1458" s="64">
        <f t="shared" si="90"/>
        <v>99.2</v>
      </c>
      <c r="G1458" s="24">
        <v>0</v>
      </c>
      <c r="H1458" s="24">
        <v>99.2</v>
      </c>
      <c r="I1458" s="24">
        <v>0</v>
      </c>
      <c r="J1458" s="24">
        <v>0</v>
      </c>
      <c r="K1458" s="35">
        <v>45231</v>
      </c>
    </row>
    <row r="1459" spans="1:11" s="51" customFormat="1" ht="115.8" customHeight="1" x14ac:dyDescent="0.25">
      <c r="A1459" s="22">
        <v>1176</v>
      </c>
      <c r="B1459" s="231"/>
      <c r="C1459" s="25" t="s">
        <v>1760</v>
      </c>
      <c r="D1459" s="63" t="s">
        <v>1723</v>
      </c>
      <c r="E1459" s="16" t="s">
        <v>12</v>
      </c>
      <c r="F1459" s="64">
        <f t="shared" si="90"/>
        <v>396.74</v>
      </c>
      <c r="G1459" s="24">
        <v>0</v>
      </c>
      <c r="H1459" s="24">
        <v>0</v>
      </c>
      <c r="I1459" s="24">
        <v>396.74</v>
      </c>
      <c r="J1459" s="24">
        <v>0</v>
      </c>
      <c r="K1459" s="35">
        <v>45231</v>
      </c>
    </row>
    <row r="1460" spans="1:11" s="51" customFormat="1" ht="72" customHeight="1" x14ac:dyDescent="0.25">
      <c r="A1460" s="22">
        <v>1177</v>
      </c>
      <c r="B1460" s="231"/>
      <c r="C1460" s="25" t="s">
        <v>1761</v>
      </c>
      <c r="D1460" s="63" t="s">
        <v>1762</v>
      </c>
      <c r="E1460" s="16" t="s">
        <v>12</v>
      </c>
      <c r="F1460" s="64">
        <f t="shared" si="90"/>
        <v>253.77</v>
      </c>
      <c r="G1460" s="24">
        <v>0</v>
      </c>
      <c r="H1460" s="24">
        <v>0</v>
      </c>
      <c r="I1460" s="24">
        <v>253.77</v>
      </c>
      <c r="J1460" s="24">
        <v>0</v>
      </c>
      <c r="K1460" s="35">
        <v>45231</v>
      </c>
    </row>
    <row r="1461" spans="1:11" s="51" customFormat="1" ht="94.8" customHeight="1" x14ac:dyDescent="0.25">
      <c r="A1461" s="22">
        <v>1178</v>
      </c>
      <c r="B1461" s="231"/>
      <c r="C1461" s="25" t="s">
        <v>1763</v>
      </c>
      <c r="D1461" s="63" t="s">
        <v>1764</v>
      </c>
      <c r="E1461" s="16" t="s">
        <v>12</v>
      </c>
      <c r="F1461" s="64">
        <f t="shared" si="90"/>
        <v>89.29</v>
      </c>
      <c r="G1461" s="24">
        <v>0</v>
      </c>
      <c r="H1461" s="24">
        <v>0</v>
      </c>
      <c r="I1461" s="24">
        <v>89.29</v>
      </c>
      <c r="J1461" s="24">
        <v>0</v>
      </c>
      <c r="K1461" s="35">
        <v>45231</v>
      </c>
    </row>
    <row r="1462" spans="1:11" s="51" customFormat="1" ht="66.599999999999994" customHeight="1" x14ac:dyDescent="0.25">
      <c r="A1462" s="22">
        <v>1179</v>
      </c>
      <c r="B1462" s="231"/>
      <c r="C1462" s="25" t="s">
        <v>1765</v>
      </c>
      <c r="D1462" s="63" t="s">
        <v>1766</v>
      </c>
      <c r="E1462" s="16" t="s">
        <v>12</v>
      </c>
      <c r="F1462" s="64">
        <f t="shared" si="90"/>
        <v>525.01</v>
      </c>
      <c r="G1462" s="24">
        <v>0</v>
      </c>
      <c r="H1462" s="24">
        <v>0</v>
      </c>
      <c r="I1462" s="24">
        <v>525.01</v>
      </c>
      <c r="J1462" s="24">
        <v>0</v>
      </c>
      <c r="K1462" s="35">
        <v>45231</v>
      </c>
    </row>
    <row r="1463" spans="1:11" s="51" customFormat="1" ht="39.6" customHeight="1" x14ac:dyDescent="0.25">
      <c r="A1463" s="22">
        <v>1180</v>
      </c>
      <c r="B1463" s="231"/>
      <c r="C1463" s="25" t="s">
        <v>1767</v>
      </c>
      <c r="D1463" s="63" t="s">
        <v>49</v>
      </c>
      <c r="E1463" s="16" t="s">
        <v>12</v>
      </c>
      <c r="F1463" s="64">
        <f t="shared" si="90"/>
        <v>951.87</v>
      </c>
      <c r="G1463" s="24">
        <v>0</v>
      </c>
      <c r="H1463" s="24">
        <v>0</v>
      </c>
      <c r="I1463" s="24">
        <v>951.87</v>
      </c>
      <c r="J1463" s="24">
        <v>0</v>
      </c>
      <c r="K1463" s="35">
        <v>45231</v>
      </c>
    </row>
    <row r="1464" spans="1:11" s="51" customFormat="1" ht="39" customHeight="1" x14ac:dyDescent="0.25">
      <c r="A1464" s="22">
        <v>1181</v>
      </c>
      <c r="B1464" s="231"/>
      <c r="C1464" s="25" t="s">
        <v>1768</v>
      </c>
      <c r="D1464" s="63" t="s">
        <v>1308</v>
      </c>
      <c r="E1464" s="16" t="s">
        <v>12</v>
      </c>
      <c r="F1464" s="64">
        <f t="shared" si="90"/>
        <v>3135.7</v>
      </c>
      <c r="G1464" s="24">
        <v>0</v>
      </c>
      <c r="H1464" s="24">
        <v>0</v>
      </c>
      <c r="I1464" s="24">
        <v>3135.7</v>
      </c>
      <c r="J1464" s="24">
        <v>0</v>
      </c>
      <c r="K1464" s="35">
        <v>45231</v>
      </c>
    </row>
    <row r="1465" spans="1:11" s="51" customFormat="1" ht="27" customHeight="1" x14ac:dyDescent="0.25">
      <c r="A1465" s="245" t="s">
        <v>1769</v>
      </c>
      <c r="B1465" s="245"/>
      <c r="C1465" s="245"/>
      <c r="D1465" s="245"/>
      <c r="E1465" s="221"/>
      <c r="F1465" s="151">
        <f>SUM(F1433:F1464)</f>
        <v>7079.49</v>
      </c>
      <c r="G1465" s="151">
        <f t="shared" ref="G1465:J1465" si="91">SUM(G1433:G1464)</f>
        <v>0</v>
      </c>
      <c r="H1465" s="151">
        <f t="shared" si="91"/>
        <v>1727.1100000000004</v>
      </c>
      <c r="I1465" s="151">
        <f t="shared" si="91"/>
        <v>5352.3799999999992</v>
      </c>
      <c r="J1465" s="151">
        <f t="shared" si="91"/>
        <v>0</v>
      </c>
      <c r="K1465" s="38"/>
    </row>
    <row r="1466" spans="1:11" s="51" customFormat="1" ht="46.8" customHeight="1" x14ac:dyDescent="0.25">
      <c r="A1466" s="22">
        <v>1182</v>
      </c>
      <c r="B1466" s="197" t="s">
        <v>1675</v>
      </c>
      <c r="C1466" s="25" t="s">
        <v>1770</v>
      </c>
      <c r="D1466" s="136" t="s">
        <v>286</v>
      </c>
      <c r="E1466" s="16" t="s">
        <v>12</v>
      </c>
      <c r="F1466" s="64">
        <f t="shared" ref="F1466:F1492" si="92">G1466+H1466+I1466+J1466</f>
        <v>5.39</v>
      </c>
      <c r="G1466" s="24">
        <v>0</v>
      </c>
      <c r="H1466" s="24">
        <v>0</v>
      </c>
      <c r="I1466" s="24">
        <v>5.39</v>
      </c>
      <c r="J1466" s="24">
        <v>0</v>
      </c>
      <c r="K1466" s="36">
        <v>45323</v>
      </c>
    </row>
    <row r="1467" spans="1:11" s="51" customFormat="1" ht="84" customHeight="1" x14ac:dyDescent="0.25">
      <c r="A1467" s="22">
        <v>1183</v>
      </c>
      <c r="B1467" s="231"/>
      <c r="C1467" s="25" t="s">
        <v>1771</v>
      </c>
      <c r="D1467" s="136" t="s">
        <v>96</v>
      </c>
      <c r="E1467" s="16" t="s">
        <v>12</v>
      </c>
      <c r="F1467" s="24">
        <f t="shared" si="92"/>
        <v>376.48</v>
      </c>
      <c r="G1467" s="24">
        <v>0</v>
      </c>
      <c r="H1467" s="24">
        <v>0</v>
      </c>
      <c r="I1467" s="24">
        <v>376.48</v>
      </c>
      <c r="J1467" s="24">
        <v>0</v>
      </c>
      <c r="K1467" s="36">
        <v>45323</v>
      </c>
    </row>
    <row r="1468" spans="1:11" s="51" customFormat="1" ht="26.4" x14ac:dyDescent="0.25">
      <c r="A1468" s="22">
        <v>1184</v>
      </c>
      <c r="B1468" s="231"/>
      <c r="C1468" s="25" t="s">
        <v>1772</v>
      </c>
      <c r="D1468" s="136" t="s">
        <v>1736</v>
      </c>
      <c r="E1468" s="16" t="s">
        <v>12</v>
      </c>
      <c r="F1468" s="64">
        <f t="shared" si="92"/>
        <v>6</v>
      </c>
      <c r="G1468" s="24">
        <v>0</v>
      </c>
      <c r="H1468" s="24">
        <v>0</v>
      </c>
      <c r="I1468" s="24">
        <v>6</v>
      </c>
      <c r="J1468" s="24">
        <v>0</v>
      </c>
      <c r="K1468" s="36">
        <v>45323</v>
      </c>
    </row>
    <row r="1469" spans="1:11" s="51" customFormat="1" ht="42" customHeight="1" x14ac:dyDescent="0.25">
      <c r="A1469" s="22">
        <v>1185</v>
      </c>
      <c r="B1469" s="231"/>
      <c r="C1469" s="25" t="s">
        <v>1773</v>
      </c>
      <c r="D1469" s="136" t="s">
        <v>1677</v>
      </c>
      <c r="E1469" s="16" t="s">
        <v>12</v>
      </c>
      <c r="F1469" s="24">
        <f t="shared" si="92"/>
        <v>10.6</v>
      </c>
      <c r="G1469" s="24">
        <v>0</v>
      </c>
      <c r="H1469" s="24">
        <v>0</v>
      </c>
      <c r="I1469" s="24">
        <v>10.6</v>
      </c>
      <c r="J1469" s="24">
        <v>0</v>
      </c>
      <c r="K1469" s="36">
        <v>45323</v>
      </c>
    </row>
    <row r="1470" spans="1:11" s="51" customFormat="1" ht="71.400000000000006" customHeight="1" x14ac:dyDescent="0.25">
      <c r="A1470" s="22">
        <v>1186</v>
      </c>
      <c r="B1470" s="231"/>
      <c r="C1470" s="25" t="s">
        <v>1774</v>
      </c>
      <c r="D1470" s="136" t="s">
        <v>1775</v>
      </c>
      <c r="E1470" s="16" t="s">
        <v>12</v>
      </c>
      <c r="F1470" s="64">
        <f t="shared" si="92"/>
        <v>152</v>
      </c>
      <c r="G1470" s="24">
        <v>0</v>
      </c>
      <c r="H1470" s="24">
        <v>0</v>
      </c>
      <c r="I1470" s="24">
        <v>152</v>
      </c>
      <c r="J1470" s="24">
        <v>0</v>
      </c>
      <c r="K1470" s="36">
        <v>45323</v>
      </c>
    </row>
    <row r="1471" spans="1:11" s="51" customFormat="1" ht="42.6" customHeight="1" x14ac:dyDescent="0.25">
      <c r="A1471" s="22">
        <v>1187</v>
      </c>
      <c r="B1471" s="231"/>
      <c r="C1471" s="25" t="s">
        <v>1776</v>
      </c>
      <c r="D1471" s="136" t="s">
        <v>1679</v>
      </c>
      <c r="E1471" s="16" t="s">
        <v>12</v>
      </c>
      <c r="F1471" s="64">
        <f t="shared" si="92"/>
        <v>30.95</v>
      </c>
      <c r="G1471" s="24">
        <v>0</v>
      </c>
      <c r="H1471" s="24">
        <v>0</v>
      </c>
      <c r="I1471" s="24">
        <v>30.95</v>
      </c>
      <c r="J1471" s="24">
        <v>0</v>
      </c>
      <c r="K1471" s="36">
        <v>45323</v>
      </c>
    </row>
    <row r="1472" spans="1:11" s="51" customFormat="1" ht="57.6" customHeight="1" x14ac:dyDescent="0.25">
      <c r="A1472" s="22">
        <v>1188</v>
      </c>
      <c r="B1472" s="231"/>
      <c r="C1472" s="25" t="s">
        <v>1777</v>
      </c>
      <c r="D1472" s="136" t="s">
        <v>1720</v>
      </c>
      <c r="E1472" s="16" t="s">
        <v>12</v>
      </c>
      <c r="F1472" s="24">
        <f t="shared" si="92"/>
        <v>32</v>
      </c>
      <c r="G1472" s="24">
        <v>0</v>
      </c>
      <c r="H1472" s="24">
        <v>0</v>
      </c>
      <c r="I1472" s="24">
        <v>32</v>
      </c>
      <c r="J1472" s="24">
        <v>0</v>
      </c>
      <c r="K1472" s="36">
        <v>45323</v>
      </c>
    </row>
    <row r="1473" spans="1:11" s="51" customFormat="1" ht="26.4" x14ac:dyDescent="0.25">
      <c r="A1473" s="22">
        <v>1189</v>
      </c>
      <c r="B1473" s="231"/>
      <c r="C1473" s="25" t="s">
        <v>1778</v>
      </c>
      <c r="D1473" s="136" t="s">
        <v>91</v>
      </c>
      <c r="E1473" s="16" t="s">
        <v>12</v>
      </c>
      <c r="F1473" s="64">
        <f t="shared" si="92"/>
        <v>104.55</v>
      </c>
      <c r="G1473" s="24">
        <v>0</v>
      </c>
      <c r="H1473" s="24">
        <v>0</v>
      </c>
      <c r="I1473" s="24">
        <v>104.55</v>
      </c>
      <c r="J1473" s="24">
        <v>0</v>
      </c>
      <c r="K1473" s="36">
        <v>45352</v>
      </c>
    </row>
    <row r="1474" spans="1:11" s="51" customFormat="1" ht="42" customHeight="1" x14ac:dyDescent="0.25">
      <c r="A1474" s="22">
        <v>1190</v>
      </c>
      <c r="B1474" s="231"/>
      <c r="C1474" s="25" t="s">
        <v>1779</v>
      </c>
      <c r="D1474" s="136" t="s">
        <v>286</v>
      </c>
      <c r="E1474" s="16" t="s">
        <v>12</v>
      </c>
      <c r="F1474" s="24">
        <f t="shared" si="92"/>
        <v>7.62</v>
      </c>
      <c r="G1474" s="24">
        <v>0</v>
      </c>
      <c r="H1474" s="24">
        <v>0</v>
      </c>
      <c r="I1474" s="24">
        <v>7.62</v>
      </c>
      <c r="J1474" s="24">
        <v>0</v>
      </c>
      <c r="K1474" s="36">
        <v>45352</v>
      </c>
    </row>
    <row r="1475" spans="1:11" s="51" customFormat="1" ht="42" customHeight="1" x14ac:dyDescent="0.25">
      <c r="A1475" s="22">
        <v>1191</v>
      </c>
      <c r="B1475" s="231"/>
      <c r="C1475" s="25" t="s">
        <v>1780</v>
      </c>
      <c r="D1475" s="136" t="s">
        <v>286</v>
      </c>
      <c r="E1475" s="16" t="s">
        <v>12</v>
      </c>
      <c r="F1475" s="64">
        <f t="shared" si="92"/>
        <v>21.31</v>
      </c>
      <c r="G1475" s="24">
        <v>0</v>
      </c>
      <c r="H1475" s="24">
        <v>0</v>
      </c>
      <c r="I1475" s="24">
        <v>21.31</v>
      </c>
      <c r="J1475" s="24">
        <v>0</v>
      </c>
      <c r="K1475" s="36">
        <v>45352</v>
      </c>
    </row>
    <row r="1476" spans="1:11" s="51" customFormat="1" ht="40.200000000000003" customHeight="1" x14ac:dyDescent="0.25">
      <c r="A1476" s="22">
        <v>1192</v>
      </c>
      <c r="B1476" s="231"/>
      <c r="C1476" s="25" t="s">
        <v>1781</v>
      </c>
      <c r="D1476" s="136" t="s">
        <v>286</v>
      </c>
      <c r="E1476" s="16" t="s">
        <v>12</v>
      </c>
      <c r="F1476" s="24">
        <f t="shared" si="92"/>
        <v>5.61</v>
      </c>
      <c r="G1476" s="24">
        <v>0</v>
      </c>
      <c r="H1476" s="24">
        <v>0</v>
      </c>
      <c r="I1476" s="24">
        <v>5.61</v>
      </c>
      <c r="J1476" s="24">
        <v>0</v>
      </c>
      <c r="K1476" s="36">
        <v>45352</v>
      </c>
    </row>
    <row r="1477" spans="1:11" s="51" customFormat="1" ht="40.799999999999997" customHeight="1" x14ac:dyDescent="0.25">
      <c r="A1477" s="22">
        <v>1193</v>
      </c>
      <c r="B1477" s="231"/>
      <c r="C1477" s="25" t="s">
        <v>1782</v>
      </c>
      <c r="D1477" s="136" t="s">
        <v>1486</v>
      </c>
      <c r="E1477" s="16" t="s">
        <v>12</v>
      </c>
      <c r="F1477" s="64">
        <f t="shared" si="92"/>
        <v>10.6</v>
      </c>
      <c r="G1477" s="24">
        <v>0</v>
      </c>
      <c r="H1477" s="24">
        <v>0</v>
      </c>
      <c r="I1477" s="24">
        <v>10.6</v>
      </c>
      <c r="J1477" s="24">
        <v>0</v>
      </c>
      <c r="K1477" s="36">
        <v>45352</v>
      </c>
    </row>
    <row r="1478" spans="1:11" s="51" customFormat="1" ht="40.200000000000003" customHeight="1" x14ac:dyDescent="0.25">
      <c r="A1478" s="22">
        <v>1194</v>
      </c>
      <c r="B1478" s="231"/>
      <c r="C1478" s="25" t="s">
        <v>1783</v>
      </c>
      <c r="D1478" s="136" t="s">
        <v>1684</v>
      </c>
      <c r="E1478" s="16" t="s">
        <v>12</v>
      </c>
      <c r="F1478" s="24">
        <f t="shared" si="92"/>
        <v>21.2</v>
      </c>
      <c r="G1478" s="24">
        <v>0</v>
      </c>
      <c r="H1478" s="24">
        <v>0</v>
      </c>
      <c r="I1478" s="24">
        <v>21.2</v>
      </c>
      <c r="J1478" s="24">
        <v>0</v>
      </c>
      <c r="K1478" s="36">
        <v>45352</v>
      </c>
    </row>
    <row r="1479" spans="1:11" s="51" customFormat="1" ht="47.4" customHeight="1" x14ac:dyDescent="0.25">
      <c r="A1479" s="22">
        <v>1195</v>
      </c>
      <c r="B1479" s="231"/>
      <c r="C1479" s="25" t="s">
        <v>1784</v>
      </c>
      <c r="D1479" s="136" t="s">
        <v>1684</v>
      </c>
      <c r="E1479" s="16" t="s">
        <v>12</v>
      </c>
      <c r="F1479" s="64">
        <f t="shared" si="92"/>
        <v>150.08000000000001</v>
      </c>
      <c r="G1479" s="24">
        <v>0</v>
      </c>
      <c r="H1479" s="24">
        <v>0</v>
      </c>
      <c r="I1479" s="24">
        <v>150.08000000000001</v>
      </c>
      <c r="J1479" s="24">
        <v>0</v>
      </c>
      <c r="K1479" s="36">
        <v>45352</v>
      </c>
    </row>
    <row r="1480" spans="1:11" s="51" customFormat="1" ht="34.200000000000003" customHeight="1" x14ac:dyDescent="0.25">
      <c r="A1480" s="22">
        <v>1196</v>
      </c>
      <c r="B1480" s="231"/>
      <c r="C1480" s="25" t="s">
        <v>1785</v>
      </c>
      <c r="D1480" s="136" t="s">
        <v>1690</v>
      </c>
      <c r="E1480" s="16" t="s">
        <v>12</v>
      </c>
      <c r="F1480" s="24">
        <f t="shared" si="92"/>
        <v>15</v>
      </c>
      <c r="G1480" s="24">
        <v>0</v>
      </c>
      <c r="H1480" s="24">
        <v>0</v>
      </c>
      <c r="I1480" s="24">
        <v>15</v>
      </c>
      <c r="J1480" s="24">
        <v>0</v>
      </c>
      <c r="K1480" s="36">
        <v>45352</v>
      </c>
    </row>
    <row r="1481" spans="1:11" s="51" customFormat="1" ht="49.2" customHeight="1" x14ac:dyDescent="0.25">
      <c r="A1481" s="22">
        <v>1197</v>
      </c>
      <c r="B1481" s="231"/>
      <c r="C1481" s="25" t="s">
        <v>1786</v>
      </c>
      <c r="D1481" s="136" t="s">
        <v>1694</v>
      </c>
      <c r="E1481" s="16" t="s">
        <v>12</v>
      </c>
      <c r="F1481" s="64">
        <f t="shared" si="92"/>
        <v>428.4</v>
      </c>
      <c r="G1481" s="24">
        <v>0</v>
      </c>
      <c r="H1481" s="24">
        <v>0</v>
      </c>
      <c r="I1481" s="24">
        <v>428.4</v>
      </c>
      <c r="J1481" s="24">
        <v>0</v>
      </c>
      <c r="K1481" s="36">
        <v>45352</v>
      </c>
    </row>
    <row r="1482" spans="1:11" s="51" customFormat="1" ht="36.6" customHeight="1" x14ac:dyDescent="0.25">
      <c r="A1482" s="22">
        <v>1198</v>
      </c>
      <c r="B1482" s="231"/>
      <c r="C1482" s="25" t="s">
        <v>1787</v>
      </c>
      <c r="D1482" s="136" t="s">
        <v>1700</v>
      </c>
      <c r="E1482" s="16" t="s">
        <v>12</v>
      </c>
      <c r="F1482" s="24">
        <f t="shared" si="92"/>
        <v>7.5</v>
      </c>
      <c r="G1482" s="24">
        <v>0</v>
      </c>
      <c r="H1482" s="24">
        <v>0</v>
      </c>
      <c r="I1482" s="24">
        <v>7.5</v>
      </c>
      <c r="J1482" s="24">
        <v>0</v>
      </c>
      <c r="K1482" s="36">
        <v>45383</v>
      </c>
    </row>
    <row r="1483" spans="1:11" s="51" customFormat="1" ht="39" customHeight="1" x14ac:dyDescent="0.25">
      <c r="A1483" s="22">
        <v>1199</v>
      </c>
      <c r="B1483" s="231"/>
      <c r="C1483" s="25" t="s">
        <v>1788</v>
      </c>
      <c r="D1483" s="136" t="s">
        <v>1698</v>
      </c>
      <c r="E1483" s="16" t="s">
        <v>12</v>
      </c>
      <c r="F1483" s="64">
        <f t="shared" si="92"/>
        <v>30</v>
      </c>
      <c r="G1483" s="24">
        <v>0</v>
      </c>
      <c r="H1483" s="24">
        <v>0</v>
      </c>
      <c r="I1483" s="24">
        <v>30</v>
      </c>
      <c r="J1483" s="24">
        <v>0</v>
      </c>
      <c r="K1483" s="36">
        <v>45383</v>
      </c>
    </row>
    <row r="1484" spans="1:11" s="51" customFormat="1" ht="57" customHeight="1" x14ac:dyDescent="0.25">
      <c r="A1484" s="22">
        <v>1200</v>
      </c>
      <c r="B1484" s="231"/>
      <c r="C1484" s="25" t="s">
        <v>1789</v>
      </c>
      <c r="D1484" s="136" t="s">
        <v>1704</v>
      </c>
      <c r="E1484" s="16" t="s">
        <v>12</v>
      </c>
      <c r="F1484" s="24">
        <f t="shared" si="92"/>
        <v>27</v>
      </c>
      <c r="G1484" s="24">
        <v>0</v>
      </c>
      <c r="H1484" s="24">
        <v>0</v>
      </c>
      <c r="I1484" s="24">
        <v>27</v>
      </c>
      <c r="J1484" s="24">
        <v>0</v>
      </c>
      <c r="K1484" s="36">
        <v>45383</v>
      </c>
    </row>
    <row r="1485" spans="1:11" s="51" customFormat="1" ht="67.2" customHeight="1" x14ac:dyDescent="0.25">
      <c r="A1485" s="22">
        <v>1201</v>
      </c>
      <c r="B1485" s="231"/>
      <c r="C1485" s="25" t="s">
        <v>1790</v>
      </c>
      <c r="D1485" s="136" t="s">
        <v>1752</v>
      </c>
      <c r="E1485" s="16" t="s">
        <v>12</v>
      </c>
      <c r="F1485" s="64">
        <f t="shared" si="92"/>
        <v>80</v>
      </c>
      <c r="G1485" s="24">
        <v>0</v>
      </c>
      <c r="H1485" s="24">
        <v>0</v>
      </c>
      <c r="I1485" s="24">
        <v>80</v>
      </c>
      <c r="J1485" s="24">
        <v>0</v>
      </c>
      <c r="K1485" s="36">
        <v>45383</v>
      </c>
    </row>
    <row r="1486" spans="1:11" s="51" customFormat="1" ht="52.8" customHeight="1" x14ac:dyDescent="0.25">
      <c r="A1486" s="22">
        <v>1202</v>
      </c>
      <c r="B1486" s="231"/>
      <c r="C1486" s="25" t="s">
        <v>1791</v>
      </c>
      <c r="D1486" s="136" t="s">
        <v>1706</v>
      </c>
      <c r="E1486" s="16" t="s">
        <v>12</v>
      </c>
      <c r="F1486" s="24">
        <f t="shared" si="92"/>
        <v>73.5</v>
      </c>
      <c r="G1486" s="24">
        <v>0</v>
      </c>
      <c r="H1486" s="24">
        <v>0</v>
      </c>
      <c r="I1486" s="24">
        <v>73.5</v>
      </c>
      <c r="J1486" s="24">
        <v>0</v>
      </c>
      <c r="K1486" s="36">
        <v>45413</v>
      </c>
    </row>
    <row r="1487" spans="1:11" s="51" customFormat="1" ht="37.200000000000003" customHeight="1" x14ac:dyDescent="0.25">
      <c r="A1487" s="22">
        <v>1203</v>
      </c>
      <c r="B1487" s="231"/>
      <c r="C1487" s="25" t="s">
        <v>1792</v>
      </c>
      <c r="D1487" s="136" t="s">
        <v>1714</v>
      </c>
      <c r="E1487" s="16" t="s">
        <v>12</v>
      </c>
      <c r="F1487" s="64">
        <f t="shared" si="92"/>
        <v>160</v>
      </c>
      <c r="G1487" s="24">
        <v>0</v>
      </c>
      <c r="H1487" s="24">
        <v>0</v>
      </c>
      <c r="I1487" s="24">
        <v>160</v>
      </c>
      <c r="J1487" s="24">
        <v>0</v>
      </c>
      <c r="K1487" s="36">
        <v>45413</v>
      </c>
    </row>
    <row r="1488" spans="1:11" s="51" customFormat="1" ht="43.8" customHeight="1" x14ac:dyDescent="0.25">
      <c r="A1488" s="22">
        <v>1204</v>
      </c>
      <c r="B1488" s="231"/>
      <c r="C1488" s="25" t="s">
        <v>1793</v>
      </c>
      <c r="D1488" s="136" t="s">
        <v>1708</v>
      </c>
      <c r="E1488" s="16" t="s">
        <v>12</v>
      </c>
      <c r="F1488" s="24">
        <f t="shared" si="92"/>
        <v>25</v>
      </c>
      <c r="G1488" s="24">
        <v>0</v>
      </c>
      <c r="H1488" s="24">
        <v>0</v>
      </c>
      <c r="I1488" s="24">
        <v>25</v>
      </c>
      <c r="J1488" s="24">
        <v>0</v>
      </c>
      <c r="K1488" s="36">
        <v>45413</v>
      </c>
    </row>
    <row r="1489" spans="1:11" s="51" customFormat="1" ht="40.200000000000003" customHeight="1" x14ac:dyDescent="0.25">
      <c r="A1489" s="22">
        <v>1205</v>
      </c>
      <c r="B1489" s="231"/>
      <c r="C1489" s="25" t="s">
        <v>1794</v>
      </c>
      <c r="D1489" s="136" t="s">
        <v>1710</v>
      </c>
      <c r="E1489" s="16" t="s">
        <v>12</v>
      </c>
      <c r="F1489" s="64">
        <f t="shared" si="92"/>
        <v>12.5</v>
      </c>
      <c r="G1489" s="24">
        <v>0</v>
      </c>
      <c r="H1489" s="24">
        <v>0</v>
      </c>
      <c r="I1489" s="24">
        <v>12.5</v>
      </c>
      <c r="J1489" s="24">
        <v>0</v>
      </c>
      <c r="K1489" s="36">
        <v>45413</v>
      </c>
    </row>
    <row r="1490" spans="1:11" s="51" customFormat="1" ht="43.8" customHeight="1" x14ac:dyDescent="0.25">
      <c r="A1490" s="22">
        <v>1206</v>
      </c>
      <c r="B1490" s="231"/>
      <c r="C1490" s="25" t="s">
        <v>1795</v>
      </c>
      <c r="D1490" s="136" t="s">
        <v>1712</v>
      </c>
      <c r="E1490" s="16" t="s">
        <v>12</v>
      </c>
      <c r="F1490" s="24">
        <f t="shared" si="92"/>
        <v>44.4</v>
      </c>
      <c r="G1490" s="24">
        <v>0</v>
      </c>
      <c r="H1490" s="24">
        <v>0</v>
      </c>
      <c r="I1490" s="24">
        <v>44.4</v>
      </c>
      <c r="J1490" s="24">
        <v>0</v>
      </c>
      <c r="K1490" s="36">
        <v>45413</v>
      </c>
    </row>
    <row r="1491" spans="1:11" s="51" customFormat="1" ht="48" customHeight="1" x14ac:dyDescent="0.25">
      <c r="A1491" s="22">
        <v>1207</v>
      </c>
      <c r="B1491" s="231"/>
      <c r="C1491" s="25" t="s">
        <v>1796</v>
      </c>
      <c r="D1491" s="136" t="s">
        <v>1718</v>
      </c>
      <c r="E1491" s="16" t="s">
        <v>12</v>
      </c>
      <c r="F1491" s="64">
        <f t="shared" si="92"/>
        <v>30</v>
      </c>
      <c r="G1491" s="24">
        <v>0</v>
      </c>
      <c r="H1491" s="24">
        <v>0</v>
      </c>
      <c r="I1491" s="24">
        <v>30</v>
      </c>
      <c r="J1491" s="24">
        <v>0</v>
      </c>
      <c r="K1491" s="36">
        <v>45444</v>
      </c>
    </row>
    <row r="1492" spans="1:11" s="51" customFormat="1" ht="103.8" customHeight="1" x14ac:dyDescent="0.25">
      <c r="A1492" s="22">
        <v>1208</v>
      </c>
      <c r="B1492" s="231"/>
      <c r="C1492" s="25" t="s">
        <v>1797</v>
      </c>
      <c r="D1492" s="63" t="s">
        <v>101</v>
      </c>
      <c r="E1492" s="16" t="s">
        <v>12</v>
      </c>
      <c r="F1492" s="24">
        <f t="shared" si="92"/>
        <v>99.2</v>
      </c>
      <c r="G1492" s="24">
        <v>0</v>
      </c>
      <c r="H1492" s="24">
        <v>0</v>
      </c>
      <c r="I1492" s="24">
        <v>99.2</v>
      </c>
      <c r="J1492" s="24">
        <v>0</v>
      </c>
      <c r="K1492" s="36">
        <v>45597</v>
      </c>
    </row>
    <row r="1493" spans="1:11" s="51" customFormat="1" ht="28.2" customHeight="1" x14ac:dyDescent="0.25">
      <c r="A1493" s="245" t="s">
        <v>1798</v>
      </c>
      <c r="B1493" s="245"/>
      <c r="C1493" s="245"/>
      <c r="D1493" s="245"/>
      <c r="E1493" s="246"/>
      <c r="F1493" s="151">
        <f>SUM(F1466:F1492)</f>
        <v>1966.89</v>
      </c>
      <c r="G1493" s="151">
        <f t="shared" ref="G1493:J1493" si="93">SUM(G1466:G1492)</f>
        <v>0</v>
      </c>
      <c r="H1493" s="151">
        <f t="shared" si="93"/>
        <v>0</v>
      </c>
      <c r="I1493" s="151">
        <f t="shared" si="93"/>
        <v>1966.89</v>
      </c>
      <c r="J1493" s="151">
        <f t="shared" si="93"/>
        <v>0</v>
      </c>
      <c r="K1493" s="38"/>
    </row>
    <row r="1494" spans="1:11" s="51" customFormat="1" ht="43.2" customHeight="1" x14ac:dyDescent="0.25">
      <c r="A1494" s="22">
        <v>1209</v>
      </c>
      <c r="B1494" s="197" t="s">
        <v>1799</v>
      </c>
      <c r="C1494" s="25" t="s">
        <v>1800</v>
      </c>
      <c r="D1494" s="136" t="s">
        <v>1801</v>
      </c>
      <c r="E1494" s="136" t="s">
        <v>12</v>
      </c>
      <c r="F1494" s="24">
        <v>872.13</v>
      </c>
      <c r="G1494" s="24">
        <v>769.88</v>
      </c>
      <c r="H1494" s="24">
        <v>102.25</v>
      </c>
      <c r="I1494" s="24">
        <v>0</v>
      </c>
      <c r="J1494" s="24">
        <v>0</v>
      </c>
      <c r="K1494" s="37">
        <v>44593</v>
      </c>
    </row>
    <row r="1495" spans="1:11" s="51" customFormat="1" ht="38.4" customHeight="1" x14ac:dyDescent="0.25">
      <c r="A1495" s="22">
        <v>1210</v>
      </c>
      <c r="B1495" s="231"/>
      <c r="C1495" s="25" t="s">
        <v>1802</v>
      </c>
      <c r="D1495" s="136" t="s">
        <v>91</v>
      </c>
      <c r="E1495" s="136" t="s">
        <v>12</v>
      </c>
      <c r="F1495" s="24">
        <v>167.07</v>
      </c>
      <c r="G1495" s="24">
        <v>167.07</v>
      </c>
      <c r="H1495" s="24">
        <v>0</v>
      </c>
      <c r="I1495" s="24">
        <v>0</v>
      </c>
      <c r="J1495" s="24">
        <v>0</v>
      </c>
      <c r="K1495" s="37">
        <v>44743</v>
      </c>
    </row>
    <row r="1496" spans="1:11" s="51" customFormat="1" ht="38.4" customHeight="1" x14ac:dyDescent="0.25">
      <c r="A1496" s="22">
        <v>1211</v>
      </c>
      <c r="B1496" s="231"/>
      <c r="C1496" s="25" t="s">
        <v>1803</v>
      </c>
      <c r="D1496" s="136" t="s">
        <v>91</v>
      </c>
      <c r="E1496" s="136" t="s">
        <v>12</v>
      </c>
      <c r="F1496" s="24">
        <v>91.19</v>
      </c>
      <c r="G1496" s="24">
        <v>91.19</v>
      </c>
      <c r="H1496" s="24">
        <v>0</v>
      </c>
      <c r="I1496" s="24">
        <v>0</v>
      </c>
      <c r="J1496" s="24">
        <v>0</v>
      </c>
      <c r="K1496" s="37">
        <v>44774</v>
      </c>
    </row>
    <row r="1497" spans="1:11" s="65" customFormat="1" ht="19.95" customHeight="1" x14ac:dyDescent="0.25">
      <c r="A1497" s="245" t="s">
        <v>1804</v>
      </c>
      <c r="B1497" s="245"/>
      <c r="C1497" s="245"/>
      <c r="D1497" s="245"/>
      <c r="E1497" s="245"/>
      <c r="F1497" s="40">
        <f>F1494+F1495+F1496</f>
        <v>1130.3900000000001</v>
      </c>
      <c r="G1497" s="40">
        <f>G1494+G1495+G1496</f>
        <v>1028.1400000000001</v>
      </c>
      <c r="H1497" s="40">
        <f t="shared" ref="H1497:J1497" si="94">H1494+H1495+H1496</f>
        <v>102.25</v>
      </c>
      <c r="I1497" s="40">
        <f t="shared" si="94"/>
        <v>0</v>
      </c>
      <c r="J1497" s="40">
        <f t="shared" si="94"/>
        <v>0</v>
      </c>
      <c r="K1497" s="41"/>
    </row>
    <row r="1498" spans="1:11" s="51" customFormat="1" ht="37.200000000000003" customHeight="1" x14ac:dyDescent="0.25">
      <c r="A1498" s="22">
        <v>1212</v>
      </c>
      <c r="B1498" s="197" t="s">
        <v>1799</v>
      </c>
      <c r="C1498" s="25" t="s">
        <v>1805</v>
      </c>
      <c r="D1498" s="136" t="s">
        <v>49</v>
      </c>
      <c r="E1498" s="136" t="s">
        <v>12</v>
      </c>
      <c r="F1498" s="24">
        <v>1805.04</v>
      </c>
      <c r="G1498" s="24">
        <v>0</v>
      </c>
      <c r="H1498" s="24">
        <v>1651.81</v>
      </c>
      <c r="I1498" s="24">
        <v>153.22999999999999</v>
      </c>
      <c r="J1498" s="24">
        <v>0</v>
      </c>
      <c r="K1498" s="36">
        <v>44835</v>
      </c>
    </row>
    <row r="1499" spans="1:11" s="51" customFormat="1" ht="41.4" customHeight="1" x14ac:dyDescent="0.25">
      <c r="A1499" s="22">
        <v>1213</v>
      </c>
      <c r="B1499" s="231"/>
      <c r="C1499" s="25" t="s">
        <v>1806</v>
      </c>
      <c r="D1499" s="136" t="s">
        <v>1801</v>
      </c>
      <c r="E1499" s="136" t="s">
        <v>12</v>
      </c>
      <c r="F1499" s="24">
        <v>1046.55</v>
      </c>
      <c r="G1499" s="24">
        <v>0</v>
      </c>
      <c r="H1499" s="24">
        <v>944.27</v>
      </c>
      <c r="I1499" s="24">
        <v>102.28</v>
      </c>
      <c r="J1499" s="24">
        <v>0</v>
      </c>
      <c r="K1499" s="36">
        <v>44835</v>
      </c>
    </row>
    <row r="1500" spans="1:11" s="51" customFormat="1" ht="40.799999999999997" customHeight="1" x14ac:dyDescent="0.25">
      <c r="A1500" s="22">
        <v>1214</v>
      </c>
      <c r="B1500" s="231"/>
      <c r="C1500" s="25" t="s">
        <v>1807</v>
      </c>
      <c r="D1500" s="136" t="s">
        <v>1808</v>
      </c>
      <c r="E1500" s="136" t="s">
        <v>12</v>
      </c>
      <c r="F1500" s="24">
        <v>429.28</v>
      </c>
      <c r="G1500" s="24">
        <v>0</v>
      </c>
      <c r="H1500" s="24">
        <v>429.28</v>
      </c>
      <c r="I1500" s="24">
        <v>0</v>
      </c>
      <c r="J1500" s="24">
        <v>0</v>
      </c>
      <c r="K1500" s="36">
        <v>45047</v>
      </c>
    </row>
    <row r="1501" spans="1:11" s="51" customFormat="1" ht="55.2" customHeight="1" x14ac:dyDescent="0.25">
      <c r="A1501" s="22">
        <v>1215</v>
      </c>
      <c r="B1501" s="231"/>
      <c r="C1501" s="25" t="s">
        <v>1809</v>
      </c>
      <c r="D1501" s="136" t="s">
        <v>1372</v>
      </c>
      <c r="E1501" s="136" t="s">
        <v>12</v>
      </c>
      <c r="F1501" s="24">
        <v>381.22</v>
      </c>
      <c r="G1501" s="24">
        <v>0</v>
      </c>
      <c r="H1501" s="24">
        <v>346.8</v>
      </c>
      <c r="I1501" s="24">
        <v>34.42</v>
      </c>
      <c r="J1501" s="24">
        <v>0</v>
      </c>
      <c r="K1501" s="36">
        <v>44866</v>
      </c>
    </row>
    <row r="1502" spans="1:11" s="51" customFormat="1" ht="63" customHeight="1" x14ac:dyDescent="0.25">
      <c r="A1502" s="22">
        <v>1216</v>
      </c>
      <c r="B1502" s="231"/>
      <c r="C1502" s="25" t="s">
        <v>1810</v>
      </c>
      <c r="D1502" s="136" t="s">
        <v>1811</v>
      </c>
      <c r="E1502" s="136" t="s">
        <v>12</v>
      </c>
      <c r="F1502" s="24">
        <v>375.58</v>
      </c>
      <c r="G1502" s="24">
        <v>0</v>
      </c>
      <c r="H1502" s="24">
        <v>306.60000000000002</v>
      </c>
      <c r="I1502" s="24">
        <v>68.98</v>
      </c>
      <c r="J1502" s="24">
        <v>0</v>
      </c>
      <c r="K1502" s="36">
        <v>44866</v>
      </c>
    </row>
    <row r="1503" spans="1:11" s="51" customFormat="1" ht="69.599999999999994" customHeight="1" x14ac:dyDescent="0.25">
      <c r="A1503" s="22">
        <v>1217</v>
      </c>
      <c r="B1503" s="231"/>
      <c r="C1503" s="25" t="s">
        <v>1812</v>
      </c>
      <c r="D1503" s="136" t="s">
        <v>1813</v>
      </c>
      <c r="E1503" s="136" t="s">
        <v>12</v>
      </c>
      <c r="F1503" s="24">
        <v>208.8</v>
      </c>
      <c r="G1503" s="24">
        <v>0</v>
      </c>
      <c r="H1503" s="24">
        <v>208.8</v>
      </c>
      <c r="I1503" s="24">
        <v>0</v>
      </c>
      <c r="J1503" s="24">
        <v>0</v>
      </c>
      <c r="K1503" s="36">
        <v>44866</v>
      </c>
    </row>
    <row r="1504" spans="1:11" s="51" customFormat="1" ht="26.4" x14ac:dyDescent="0.25">
      <c r="A1504" s="22">
        <v>1218</v>
      </c>
      <c r="B1504" s="231"/>
      <c r="C1504" s="25" t="s">
        <v>1814</v>
      </c>
      <c r="D1504" s="136" t="s">
        <v>91</v>
      </c>
      <c r="E1504" s="136" t="s">
        <v>12</v>
      </c>
      <c r="F1504" s="24">
        <v>105.19</v>
      </c>
      <c r="G1504" s="24">
        <v>0</v>
      </c>
      <c r="H1504" s="24">
        <v>105.19</v>
      </c>
      <c r="I1504" s="24">
        <v>0</v>
      </c>
      <c r="J1504" s="24">
        <v>0</v>
      </c>
      <c r="K1504" s="36">
        <v>45108</v>
      </c>
    </row>
    <row r="1505" spans="1:11" s="51" customFormat="1" ht="26.4" x14ac:dyDescent="0.25">
      <c r="A1505" s="22">
        <v>1219</v>
      </c>
      <c r="B1505" s="231"/>
      <c r="C1505" s="25" t="s">
        <v>1815</v>
      </c>
      <c r="D1505" s="136" t="s">
        <v>91</v>
      </c>
      <c r="E1505" s="136" t="s">
        <v>12</v>
      </c>
      <c r="F1505" s="24">
        <v>91.19</v>
      </c>
      <c r="G1505" s="24">
        <v>0</v>
      </c>
      <c r="H1505" s="24">
        <v>91.19</v>
      </c>
      <c r="I1505" s="24">
        <v>0</v>
      </c>
      <c r="J1505" s="24">
        <v>0</v>
      </c>
      <c r="K1505" s="36">
        <v>45139</v>
      </c>
    </row>
    <row r="1506" spans="1:11" s="51" customFormat="1" ht="56.4" customHeight="1" x14ac:dyDescent="0.25">
      <c r="A1506" s="22">
        <v>1220</v>
      </c>
      <c r="B1506" s="231"/>
      <c r="C1506" s="25" t="s">
        <v>1816</v>
      </c>
      <c r="D1506" s="136" t="s">
        <v>1817</v>
      </c>
      <c r="E1506" s="136" t="s">
        <v>12</v>
      </c>
      <c r="F1506" s="24">
        <v>93.91</v>
      </c>
      <c r="G1506" s="24">
        <v>0</v>
      </c>
      <c r="H1506" s="24">
        <v>86.09</v>
      </c>
      <c r="I1506" s="24">
        <v>7.82</v>
      </c>
      <c r="J1506" s="24">
        <v>0</v>
      </c>
      <c r="K1506" s="36">
        <v>44866</v>
      </c>
    </row>
    <row r="1507" spans="1:11" s="51" customFormat="1" ht="64.2" customHeight="1" x14ac:dyDescent="0.25">
      <c r="A1507" s="22">
        <v>1221</v>
      </c>
      <c r="B1507" s="231"/>
      <c r="C1507" s="25" t="s">
        <v>1818</v>
      </c>
      <c r="D1507" s="136" t="s">
        <v>1819</v>
      </c>
      <c r="E1507" s="136" t="s">
        <v>12</v>
      </c>
      <c r="F1507" s="24">
        <v>68.98</v>
      </c>
      <c r="G1507" s="24">
        <v>0</v>
      </c>
      <c r="H1507" s="24">
        <v>68.98</v>
      </c>
      <c r="I1507" s="24">
        <v>0</v>
      </c>
      <c r="J1507" s="24">
        <v>0</v>
      </c>
      <c r="K1507" s="36">
        <v>44774</v>
      </c>
    </row>
    <row r="1508" spans="1:11" s="51" customFormat="1" ht="81" customHeight="1" x14ac:dyDescent="0.25">
      <c r="A1508" s="22">
        <v>1222</v>
      </c>
      <c r="B1508" s="231"/>
      <c r="C1508" s="25" t="s">
        <v>1820</v>
      </c>
      <c r="D1508" s="136" t="s">
        <v>1821</v>
      </c>
      <c r="E1508" s="136" t="s">
        <v>12</v>
      </c>
      <c r="F1508" s="24">
        <v>58.42</v>
      </c>
      <c r="G1508" s="24">
        <v>0</v>
      </c>
      <c r="H1508" s="24">
        <v>53.46</v>
      </c>
      <c r="I1508" s="24">
        <v>4.96</v>
      </c>
      <c r="J1508" s="24">
        <v>0</v>
      </c>
      <c r="K1508" s="36">
        <v>44866</v>
      </c>
    </row>
    <row r="1509" spans="1:11" s="65" customFormat="1" ht="30" customHeight="1" x14ac:dyDescent="0.25">
      <c r="A1509" s="245" t="s">
        <v>1822</v>
      </c>
      <c r="B1509" s="245"/>
      <c r="C1509" s="245"/>
      <c r="D1509" s="245"/>
      <c r="E1509" s="245"/>
      <c r="F1509" s="40">
        <f>SUM(F1498:F1508)</f>
        <v>4664.1599999999989</v>
      </c>
      <c r="G1509" s="40">
        <f t="shared" ref="G1509:J1509" si="95">SUM(G1498:G1508)</f>
        <v>0</v>
      </c>
      <c r="H1509" s="40">
        <f t="shared" si="95"/>
        <v>4292.4699999999993</v>
      </c>
      <c r="I1509" s="40">
        <f t="shared" si="95"/>
        <v>371.69</v>
      </c>
      <c r="J1509" s="40">
        <f t="shared" si="95"/>
        <v>0</v>
      </c>
      <c r="K1509" s="41"/>
    </row>
    <row r="1510" spans="1:11" s="51" customFormat="1" ht="33" customHeight="1" x14ac:dyDescent="0.25">
      <c r="A1510" s="22">
        <v>1223</v>
      </c>
      <c r="B1510" s="197" t="s">
        <v>1799</v>
      </c>
      <c r="C1510" s="25" t="s">
        <v>1823</v>
      </c>
      <c r="D1510" s="136" t="s">
        <v>49</v>
      </c>
      <c r="E1510" s="136" t="s">
        <v>12</v>
      </c>
      <c r="F1510" s="24">
        <v>1651.81</v>
      </c>
      <c r="G1510" s="24">
        <v>0</v>
      </c>
      <c r="H1510" s="24">
        <v>0</v>
      </c>
      <c r="I1510" s="24">
        <v>1651.81</v>
      </c>
      <c r="J1510" s="24">
        <v>0</v>
      </c>
      <c r="K1510" s="36">
        <v>45200</v>
      </c>
    </row>
    <row r="1511" spans="1:11" s="51" customFormat="1" ht="39" customHeight="1" x14ac:dyDescent="0.25">
      <c r="A1511" s="22">
        <v>1224</v>
      </c>
      <c r="B1511" s="231"/>
      <c r="C1511" s="25" t="s">
        <v>1824</v>
      </c>
      <c r="D1511" s="136" t="s">
        <v>1801</v>
      </c>
      <c r="E1511" s="136" t="s">
        <v>12</v>
      </c>
      <c r="F1511" s="24">
        <v>1032.22</v>
      </c>
      <c r="G1511" s="24">
        <v>0</v>
      </c>
      <c r="H1511" s="24">
        <v>0</v>
      </c>
      <c r="I1511" s="24">
        <v>1032.22</v>
      </c>
      <c r="J1511" s="24">
        <v>0</v>
      </c>
      <c r="K1511" s="36">
        <v>45200</v>
      </c>
    </row>
    <row r="1512" spans="1:11" s="51" customFormat="1" ht="42" customHeight="1" x14ac:dyDescent="0.25">
      <c r="A1512" s="22">
        <v>1225</v>
      </c>
      <c r="B1512" s="231"/>
      <c r="C1512" s="25" t="s">
        <v>1825</v>
      </c>
      <c r="D1512" s="136" t="s">
        <v>1808</v>
      </c>
      <c r="E1512" s="136" t="s">
        <v>12</v>
      </c>
      <c r="F1512" s="24">
        <v>448.18</v>
      </c>
      <c r="G1512" s="24">
        <v>0</v>
      </c>
      <c r="H1512" s="24">
        <v>0</v>
      </c>
      <c r="I1512" s="24">
        <v>448.18</v>
      </c>
      <c r="J1512" s="24">
        <v>0</v>
      </c>
      <c r="K1512" s="36">
        <v>45413</v>
      </c>
    </row>
    <row r="1513" spans="1:11" s="51" customFormat="1" ht="52.8" customHeight="1" x14ac:dyDescent="0.25">
      <c r="A1513" s="22">
        <v>1226</v>
      </c>
      <c r="B1513" s="231"/>
      <c r="C1513" s="25" t="s">
        <v>1826</v>
      </c>
      <c r="D1513" s="136" t="s">
        <v>1372</v>
      </c>
      <c r="E1513" s="136" t="s">
        <v>12</v>
      </c>
      <c r="F1513" s="24">
        <v>346.8</v>
      </c>
      <c r="G1513" s="24">
        <v>0</v>
      </c>
      <c r="H1513" s="24">
        <v>0</v>
      </c>
      <c r="I1513" s="24">
        <f t="shared" ref="I1513:I1519" si="96">F1513</f>
        <v>346.8</v>
      </c>
      <c r="J1513" s="24">
        <v>0</v>
      </c>
      <c r="K1513" s="36">
        <v>45231</v>
      </c>
    </row>
    <row r="1514" spans="1:11" s="51" customFormat="1" ht="60" customHeight="1" x14ac:dyDescent="0.25">
      <c r="A1514" s="22">
        <v>1227</v>
      </c>
      <c r="B1514" s="231"/>
      <c r="C1514" s="25" t="s">
        <v>1827</v>
      </c>
      <c r="D1514" s="136" t="s">
        <v>1811</v>
      </c>
      <c r="E1514" s="136" t="s">
        <v>12</v>
      </c>
      <c r="F1514" s="24">
        <v>306.60000000000002</v>
      </c>
      <c r="G1514" s="24">
        <v>0</v>
      </c>
      <c r="H1514" s="24">
        <v>0</v>
      </c>
      <c r="I1514" s="24">
        <f t="shared" si="96"/>
        <v>306.60000000000002</v>
      </c>
      <c r="J1514" s="24">
        <v>0</v>
      </c>
      <c r="K1514" s="36">
        <v>45231</v>
      </c>
    </row>
    <row r="1515" spans="1:11" s="51" customFormat="1" ht="67.2" customHeight="1" x14ac:dyDescent="0.25">
      <c r="A1515" s="22">
        <v>1228</v>
      </c>
      <c r="B1515" s="231"/>
      <c r="C1515" s="25" t="s">
        <v>1828</v>
      </c>
      <c r="D1515" s="136" t="s">
        <v>1813</v>
      </c>
      <c r="E1515" s="136" t="s">
        <v>12</v>
      </c>
      <c r="F1515" s="24">
        <v>208.8</v>
      </c>
      <c r="G1515" s="24">
        <v>0</v>
      </c>
      <c r="H1515" s="24">
        <v>0</v>
      </c>
      <c r="I1515" s="24">
        <f t="shared" si="96"/>
        <v>208.8</v>
      </c>
      <c r="J1515" s="24">
        <v>0</v>
      </c>
      <c r="K1515" s="36">
        <v>45231</v>
      </c>
    </row>
    <row r="1516" spans="1:11" s="51" customFormat="1" ht="26.4" x14ac:dyDescent="0.25">
      <c r="A1516" s="22">
        <v>1229</v>
      </c>
      <c r="B1516" s="231"/>
      <c r="C1516" s="25" t="s">
        <v>1829</v>
      </c>
      <c r="D1516" s="136" t="s">
        <v>91</v>
      </c>
      <c r="E1516" s="136" t="s">
        <v>12</v>
      </c>
      <c r="F1516" s="24">
        <v>91.19</v>
      </c>
      <c r="G1516" s="24">
        <v>0</v>
      </c>
      <c r="H1516" s="24">
        <v>0</v>
      </c>
      <c r="I1516" s="24">
        <f t="shared" si="96"/>
        <v>91.19</v>
      </c>
      <c r="J1516" s="24">
        <v>0</v>
      </c>
      <c r="K1516" s="36">
        <v>45505</v>
      </c>
    </row>
    <row r="1517" spans="1:11" s="51" customFormat="1" ht="57.6" customHeight="1" x14ac:dyDescent="0.25">
      <c r="A1517" s="22">
        <v>1230</v>
      </c>
      <c r="B1517" s="231"/>
      <c r="C1517" s="25" t="s">
        <v>1830</v>
      </c>
      <c r="D1517" s="136" t="s">
        <v>1817</v>
      </c>
      <c r="E1517" s="136" t="s">
        <v>12</v>
      </c>
      <c r="F1517" s="24">
        <v>86.09</v>
      </c>
      <c r="G1517" s="24">
        <v>0</v>
      </c>
      <c r="H1517" s="24">
        <v>0</v>
      </c>
      <c r="I1517" s="24">
        <f t="shared" si="96"/>
        <v>86.09</v>
      </c>
      <c r="J1517" s="24">
        <v>0</v>
      </c>
      <c r="K1517" s="36">
        <v>45231</v>
      </c>
    </row>
    <row r="1518" spans="1:11" s="51" customFormat="1" ht="85.8" customHeight="1" x14ac:dyDescent="0.25">
      <c r="A1518" s="22">
        <v>1231</v>
      </c>
      <c r="B1518" s="231"/>
      <c r="C1518" s="25" t="s">
        <v>1831</v>
      </c>
      <c r="D1518" s="136" t="s">
        <v>1821</v>
      </c>
      <c r="E1518" s="136" t="s">
        <v>12</v>
      </c>
      <c r="F1518" s="24">
        <v>53.46</v>
      </c>
      <c r="G1518" s="24">
        <v>0</v>
      </c>
      <c r="H1518" s="24">
        <v>0</v>
      </c>
      <c r="I1518" s="24">
        <f t="shared" si="96"/>
        <v>53.46</v>
      </c>
      <c r="J1518" s="24">
        <v>0</v>
      </c>
      <c r="K1518" s="36">
        <v>45231</v>
      </c>
    </row>
    <row r="1519" spans="1:11" s="51" customFormat="1" ht="35.4" customHeight="1" x14ac:dyDescent="0.25">
      <c r="A1519" s="22">
        <v>1232</v>
      </c>
      <c r="B1519" s="231"/>
      <c r="C1519" s="25" t="s">
        <v>1832</v>
      </c>
      <c r="D1519" s="136" t="s">
        <v>91</v>
      </c>
      <c r="E1519" s="136" t="s">
        <v>12</v>
      </c>
      <c r="F1519" s="24">
        <v>37.130000000000003</v>
      </c>
      <c r="G1519" s="24">
        <v>0</v>
      </c>
      <c r="H1519" s="24">
        <v>0</v>
      </c>
      <c r="I1519" s="24">
        <f t="shared" si="96"/>
        <v>37.130000000000003</v>
      </c>
      <c r="J1519" s="24">
        <v>0</v>
      </c>
      <c r="K1519" s="36">
        <v>45474</v>
      </c>
    </row>
    <row r="1520" spans="1:11" s="51" customFormat="1" ht="27" customHeight="1" x14ac:dyDescent="0.25">
      <c r="A1520" s="245" t="s">
        <v>1833</v>
      </c>
      <c r="B1520" s="245"/>
      <c r="C1520" s="245"/>
      <c r="D1520" s="245"/>
      <c r="E1520" s="245"/>
      <c r="F1520" s="28">
        <f>SUM(F1510:F1519)</f>
        <v>4262.28</v>
      </c>
      <c r="G1520" s="28">
        <f t="shared" ref="G1520:J1520" si="97">SUM(G1510:G1519)</f>
        <v>0</v>
      </c>
      <c r="H1520" s="28">
        <f t="shared" si="97"/>
        <v>0</v>
      </c>
      <c r="I1520" s="28">
        <f t="shared" si="97"/>
        <v>4262.28</v>
      </c>
      <c r="J1520" s="28">
        <f t="shared" si="97"/>
        <v>0</v>
      </c>
      <c r="K1520" s="38"/>
    </row>
    <row r="1521" spans="1:11" s="51" customFormat="1" ht="58.8" customHeight="1" x14ac:dyDescent="0.25">
      <c r="A1521" s="22">
        <v>1233</v>
      </c>
      <c r="B1521" s="264" t="s">
        <v>1834</v>
      </c>
      <c r="C1521" s="16" t="s">
        <v>1835</v>
      </c>
      <c r="D1521" s="16" t="s">
        <v>1836</v>
      </c>
      <c r="E1521" s="16" t="s">
        <v>21</v>
      </c>
      <c r="F1521" s="23">
        <v>408.89346999999998</v>
      </c>
      <c r="G1521" s="23">
        <v>408.89346999999998</v>
      </c>
      <c r="H1521" s="23">
        <v>408.89346999999998</v>
      </c>
      <c r="I1521" s="24">
        <v>0</v>
      </c>
      <c r="J1521" s="24">
        <v>0</v>
      </c>
      <c r="K1521" s="77">
        <v>44621</v>
      </c>
    </row>
    <row r="1522" spans="1:11" s="51" customFormat="1" ht="26.4" x14ac:dyDescent="0.25">
      <c r="A1522" s="22">
        <v>1234</v>
      </c>
      <c r="B1522" s="265"/>
      <c r="C1522" s="16" t="s">
        <v>1837</v>
      </c>
      <c r="D1522" s="16" t="s">
        <v>91</v>
      </c>
      <c r="E1522" s="16" t="s">
        <v>21</v>
      </c>
      <c r="F1522" s="23">
        <v>82.5</v>
      </c>
      <c r="G1522" s="23">
        <v>82.5</v>
      </c>
      <c r="H1522" s="23">
        <v>82.5</v>
      </c>
      <c r="I1522" s="24">
        <v>0</v>
      </c>
      <c r="J1522" s="24">
        <v>0</v>
      </c>
      <c r="K1522" s="77">
        <v>44621</v>
      </c>
    </row>
    <row r="1523" spans="1:11" s="51" customFormat="1" ht="104.4" customHeight="1" x14ac:dyDescent="0.25">
      <c r="A1523" s="22">
        <v>1235</v>
      </c>
      <c r="B1523" s="265"/>
      <c r="C1523" s="26" t="s">
        <v>1838</v>
      </c>
      <c r="D1523" s="26" t="s">
        <v>101</v>
      </c>
      <c r="E1523" s="16" t="s">
        <v>21</v>
      </c>
      <c r="F1523" s="23">
        <v>30</v>
      </c>
      <c r="G1523" s="23">
        <v>30</v>
      </c>
      <c r="H1523" s="23">
        <v>30</v>
      </c>
      <c r="I1523" s="24">
        <v>0</v>
      </c>
      <c r="J1523" s="24">
        <v>0</v>
      </c>
      <c r="K1523" s="77">
        <v>44866</v>
      </c>
    </row>
    <row r="1524" spans="1:11" s="51" customFormat="1" ht="56.4" customHeight="1" x14ac:dyDescent="0.25">
      <c r="A1524" s="22">
        <v>1236</v>
      </c>
      <c r="B1524" s="265"/>
      <c r="C1524" s="26" t="s">
        <v>1839</v>
      </c>
      <c r="D1524" s="26" t="s">
        <v>1840</v>
      </c>
      <c r="E1524" s="16" t="s">
        <v>21</v>
      </c>
      <c r="F1524" s="23">
        <v>1038.7608</v>
      </c>
      <c r="G1524" s="24">
        <v>0</v>
      </c>
      <c r="H1524" s="24">
        <v>0</v>
      </c>
      <c r="I1524" s="24">
        <f>F1524-J1524</f>
        <v>950.53728000000001</v>
      </c>
      <c r="J1524" s="24">
        <v>88.223519999999994</v>
      </c>
      <c r="K1524" s="77">
        <v>44866</v>
      </c>
    </row>
    <row r="1525" spans="1:11" s="51" customFormat="1" ht="46.8" customHeight="1" x14ac:dyDescent="0.25">
      <c r="A1525" s="22">
        <v>1237</v>
      </c>
      <c r="B1525" s="265"/>
      <c r="C1525" s="26" t="s">
        <v>1841</v>
      </c>
      <c r="D1525" s="26" t="s">
        <v>1370</v>
      </c>
      <c r="E1525" s="16" t="s">
        <v>21</v>
      </c>
      <c r="F1525" s="24">
        <f>I1525+J1525</f>
        <v>1955.8214700000001</v>
      </c>
      <c r="G1525" s="24">
        <v>0</v>
      </c>
      <c r="H1525" s="24">
        <v>0</v>
      </c>
      <c r="I1525" s="24">
        <v>1768.2654600000001</v>
      </c>
      <c r="J1525" s="24">
        <v>187.55600999999999</v>
      </c>
      <c r="K1525" s="77">
        <v>44866</v>
      </c>
    </row>
    <row r="1526" spans="1:11" s="51" customFormat="1" ht="70.8" customHeight="1" x14ac:dyDescent="0.25">
      <c r="A1526" s="22">
        <v>1238</v>
      </c>
      <c r="B1526" s="265"/>
      <c r="C1526" s="26" t="s">
        <v>1842</v>
      </c>
      <c r="D1526" s="26" t="s">
        <v>831</v>
      </c>
      <c r="E1526" s="16" t="s">
        <v>21</v>
      </c>
      <c r="F1526" s="23">
        <v>111.9</v>
      </c>
      <c r="G1526" s="24">
        <v>0</v>
      </c>
      <c r="H1526" s="24">
        <v>0</v>
      </c>
      <c r="I1526" s="24">
        <v>111.9</v>
      </c>
      <c r="J1526" s="24">
        <v>0</v>
      </c>
      <c r="K1526" s="77">
        <v>44866</v>
      </c>
    </row>
    <row r="1527" spans="1:11" s="51" customFormat="1" ht="32.4" customHeight="1" x14ac:dyDescent="0.25">
      <c r="A1527" s="200" t="s">
        <v>1843</v>
      </c>
      <c r="B1527" s="200"/>
      <c r="C1527" s="200"/>
      <c r="D1527" s="200"/>
      <c r="E1527" s="200"/>
      <c r="F1527" s="151">
        <f>SUM(F1521:F1526)</f>
        <v>3627.87574</v>
      </c>
      <c r="G1527" s="151">
        <f t="shared" ref="G1527:J1527" si="98">SUM(G1521:G1526)</f>
        <v>521.39346999999998</v>
      </c>
      <c r="H1527" s="151">
        <f t="shared" si="98"/>
        <v>521.39346999999998</v>
      </c>
      <c r="I1527" s="151">
        <f t="shared" si="98"/>
        <v>2830.7027400000002</v>
      </c>
      <c r="J1527" s="151">
        <f t="shared" si="98"/>
        <v>275.77952999999997</v>
      </c>
      <c r="K1527" s="38"/>
    </row>
    <row r="1528" spans="1:11" s="51" customFormat="1" ht="66" x14ac:dyDescent="0.25">
      <c r="A1528" s="22">
        <v>1239</v>
      </c>
      <c r="B1528" s="136" t="s">
        <v>1844</v>
      </c>
      <c r="C1528" s="16" t="s">
        <v>1845</v>
      </c>
      <c r="D1528" s="27" t="s">
        <v>1846</v>
      </c>
      <c r="E1528" s="16" t="s">
        <v>21</v>
      </c>
      <c r="F1528" s="23">
        <v>845.71</v>
      </c>
      <c r="G1528" s="66">
        <v>845.71</v>
      </c>
      <c r="H1528" s="24">
        <v>0</v>
      </c>
      <c r="I1528" s="24">
        <v>0</v>
      </c>
      <c r="J1528" s="24">
        <v>0</v>
      </c>
      <c r="K1528" s="77">
        <v>44652</v>
      </c>
    </row>
    <row r="1529" spans="1:11" s="51" customFormat="1" ht="17.399999999999999" customHeight="1" x14ac:dyDescent="0.25">
      <c r="A1529" s="245" t="s">
        <v>1847</v>
      </c>
      <c r="B1529" s="245"/>
      <c r="C1529" s="245"/>
      <c r="D1529" s="221"/>
      <c r="E1529" s="246"/>
      <c r="F1529" s="28">
        <v>845.71</v>
      </c>
      <c r="G1529" s="67">
        <v>845.71</v>
      </c>
      <c r="H1529" s="151">
        <v>0</v>
      </c>
      <c r="I1529" s="151">
        <v>0</v>
      </c>
      <c r="J1529" s="151">
        <v>0</v>
      </c>
      <c r="K1529" s="38"/>
    </row>
    <row r="1530" spans="1:11" s="51" customFormat="1" ht="26.4" x14ac:dyDescent="0.25">
      <c r="A1530" s="22">
        <v>1240</v>
      </c>
      <c r="B1530" s="197" t="s">
        <v>1844</v>
      </c>
      <c r="C1530" s="16" t="s">
        <v>1848</v>
      </c>
      <c r="D1530" s="136" t="s">
        <v>49</v>
      </c>
      <c r="E1530" s="142" t="s">
        <v>12</v>
      </c>
      <c r="F1530" s="24">
        <v>3605.64</v>
      </c>
      <c r="G1530" s="24">
        <v>0</v>
      </c>
      <c r="H1530" s="24">
        <v>3605.64</v>
      </c>
      <c r="I1530" s="24">
        <v>0</v>
      </c>
      <c r="J1530" s="24">
        <v>0</v>
      </c>
      <c r="K1530" s="77">
        <v>44835</v>
      </c>
    </row>
    <row r="1531" spans="1:11" s="51" customFormat="1" ht="92.4" x14ac:dyDescent="0.25">
      <c r="A1531" s="22">
        <v>1241</v>
      </c>
      <c r="B1531" s="231"/>
      <c r="C1531" s="136" t="s">
        <v>1849</v>
      </c>
      <c r="D1531" s="136" t="s">
        <v>1850</v>
      </c>
      <c r="E1531" s="142" t="s">
        <v>12</v>
      </c>
      <c r="F1531" s="24">
        <v>6296.09</v>
      </c>
      <c r="G1531" s="24">
        <v>0</v>
      </c>
      <c r="H1531" s="24">
        <v>3148.05</v>
      </c>
      <c r="I1531" s="24">
        <v>3148.05</v>
      </c>
      <c r="J1531" s="24">
        <v>0</v>
      </c>
      <c r="K1531" s="77">
        <v>44835</v>
      </c>
    </row>
    <row r="1532" spans="1:11" s="51" customFormat="1" ht="39.6" x14ac:dyDescent="0.25">
      <c r="A1532" s="22">
        <v>1242</v>
      </c>
      <c r="B1532" s="231"/>
      <c r="C1532" s="136" t="s">
        <v>1851</v>
      </c>
      <c r="D1532" s="136" t="s">
        <v>1370</v>
      </c>
      <c r="E1532" s="142" t="s">
        <v>12</v>
      </c>
      <c r="F1532" s="24">
        <v>2062.58</v>
      </c>
      <c r="G1532" s="24">
        <v>0</v>
      </c>
      <c r="H1532" s="24">
        <v>2062.58</v>
      </c>
      <c r="I1532" s="24">
        <v>0</v>
      </c>
      <c r="J1532" s="24">
        <v>0</v>
      </c>
      <c r="K1532" s="77">
        <v>44835</v>
      </c>
    </row>
    <row r="1533" spans="1:11" s="51" customFormat="1" ht="66" x14ac:dyDescent="0.25">
      <c r="A1533" s="22">
        <v>1243</v>
      </c>
      <c r="B1533" s="231"/>
      <c r="C1533" s="136" t="s">
        <v>1852</v>
      </c>
      <c r="D1533" s="136" t="s">
        <v>1853</v>
      </c>
      <c r="E1533" s="142" t="s">
        <v>12</v>
      </c>
      <c r="F1533" s="24">
        <v>845.71</v>
      </c>
      <c r="G1533" s="24">
        <v>0</v>
      </c>
      <c r="H1533" s="24">
        <v>845.71</v>
      </c>
      <c r="I1533" s="24">
        <v>0</v>
      </c>
      <c r="J1533" s="24">
        <v>0</v>
      </c>
      <c r="K1533" s="77">
        <v>44835</v>
      </c>
    </row>
    <row r="1534" spans="1:11" s="51" customFormat="1" ht="39.6" x14ac:dyDescent="0.25">
      <c r="A1534" s="22">
        <v>1244</v>
      </c>
      <c r="B1534" s="231"/>
      <c r="C1534" s="136" t="s">
        <v>1854</v>
      </c>
      <c r="D1534" s="136" t="s">
        <v>49</v>
      </c>
      <c r="E1534" s="142" t="s">
        <v>12</v>
      </c>
      <c r="F1534" s="24">
        <v>542.78</v>
      </c>
      <c r="G1534" s="24">
        <v>0</v>
      </c>
      <c r="H1534" s="24">
        <v>542.78</v>
      </c>
      <c r="I1534" s="24">
        <v>0</v>
      </c>
      <c r="J1534" s="24">
        <v>0</v>
      </c>
      <c r="K1534" s="77">
        <v>44835</v>
      </c>
    </row>
    <row r="1535" spans="1:11" s="51" customFormat="1" ht="67.8" customHeight="1" x14ac:dyDescent="0.25">
      <c r="A1535" s="22">
        <v>1245</v>
      </c>
      <c r="B1535" s="231"/>
      <c r="C1535" s="136" t="s">
        <v>1855</v>
      </c>
      <c r="D1535" s="136" t="s">
        <v>1856</v>
      </c>
      <c r="E1535" s="142" t="s">
        <v>12</v>
      </c>
      <c r="F1535" s="24">
        <v>1004.45</v>
      </c>
      <c r="G1535" s="24">
        <v>0</v>
      </c>
      <c r="H1535" s="24">
        <v>502.22</v>
      </c>
      <c r="I1535" s="24">
        <v>502.22</v>
      </c>
      <c r="J1535" s="24">
        <v>0</v>
      </c>
      <c r="K1535" s="77">
        <v>44835</v>
      </c>
    </row>
    <row r="1536" spans="1:11" s="51" customFormat="1" ht="66" x14ac:dyDescent="0.25">
      <c r="A1536" s="22">
        <v>1246</v>
      </c>
      <c r="B1536" s="231"/>
      <c r="C1536" s="136" t="s">
        <v>1857</v>
      </c>
      <c r="D1536" s="136" t="s">
        <v>1858</v>
      </c>
      <c r="E1536" s="142" t="s">
        <v>12</v>
      </c>
      <c r="F1536" s="24">
        <v>836.79</v>
      </c>
      <c r="G1536" s="24">
        <v>0</v>
      </c>
      <c r="H1536" s="24">
        <v>418.39</v>
      </c>
      <c r="I1536" s="24">
        <v>418.39</v>
      </c>
      <c r="J1536" s="24">
        <v>0</v>
      </c>
      <c r="K1536" s="77">
        <v>44835</v>
      </c>
    </row>
    <row r="1537" spans="1:11" s="51" customFormat="1" ht="28.95" customHeight="1" x14ac:dyDescent="0.25">
      <c r="A1537" s="245" t="s">
        <v>1859</v>
      </c>
      <c r="B1537" s="245"/>
      <c r="C1537" s="245"/>
      <c r="D1537" s="245"/>
      <c r="E1537" s="245"/>
      <c r="F1537" s="140">
        <f>F1536+F1535+F1534+F1533+F1532+F1531+F1530</f>
        <v>15194.039999999999</v>
      </c>
      <c r="G1537" s="140">
        <f>SUM(G1530:G1536)</f>
        <v>0</v>
      </c>
      <c r="H1537" s="140">
        <f t="shared" ref="H1537:J1537" si="99">H1536+H1535+H1534+H1533+H1532+H1531+H1530</f>
        <v>11125.37</v>
      </c>
      <c r="I1537" s="140">
        <f t="shared" si="99"/>
        <v>4068.6600000000003</v>
      </c>
      <c r="J1537" s="140">
        <f t="shared" si="99"/>
        <v>0</v>
      </c>
      <c r="K1537" s="38"/>
    </row>
    <row r="1538" spans="1:11" s="51" customFormat="1" ht="39.6" x14ac:dyDescent="0.25">
      <c r="A1538" s="22">
        <v>1247</v>
      </c>
      <c r="B1538" s="197" t="s">
        <v>1844</v>
      </c>
      <c r="C1538" s="136" t="s">
        <v>1860</v>
      </c>
      <c r="D1538" s="136" t="s">
        <v>1459</v>
      </c>
      <c r="E1538" s="142" t="s">
        <v>12</v>
      </c>
      <c r="F1538" s="24">
        <v>1912.79</v>
      </c>
      <c r="G1538" s="24">
        <v>0</v>
      </c>
      <c r="H1538" s="24">
        <v>0</v>
      </c>
      <c r="I1538" s="24">
        <v>1912.79</v>
      </c>
      <c r="J1538" s="24">
        <v>0</v>
      </c>
      <c r="K1538" s="77">
        <v>45200</v>
      </c>
    </row>
    <row r="1539" spans="1:11" s="51" customFormat="1" ht="69.599999999999994" customHeight="1" x14ac:dyDescent="0.25">
      <c r="A1539" s="22">
        <v>1248</v>
      </c>
      <c r="B1539" s="231"/>
      <c r="C1539" s="136" t="s">
        <v>1861</v>
      </c>
      <c r="D1539" s="136" t="s">
        <v>1862</v>
      </c>
      <c r="E1539" s="142" t="s">
        <v>12</v>
      </c>
      <c r="F1539" s="24">
        <v>1274.99</v>
      </c>
      <c r="G1539" s="24">
        <v>0</v>
      </c>
      <c r="H1539" s="24">
        <v>0</v>
      </c>
      <c r="I1539" s="24">
        <v>1274.99</v>
      </c>
      <c r="J1539" s="24">
        <v>0</v>
      </c>
      <c r="K1539" s="77">
        <v>45200</v>
      </c>
    </row>
    <row r="1540" spans="1:11" s="51" customFormat="1" ht="54.6" customHeight="1" x14ac:dyDescent="0.25">
      <c r="A1540" s="22">
        <v>1249</v>
      </c>
      <c r="B1540" s="231"/>
      <c r="C1540" s="136" t="s">
        <v>1863</v>
      </c>
      <c r="D1540" s="136" t="s">
        <v>49</v>
      </c>
      <c r="E1540" s="142" t="s">
        <v>12</v>
      </c>
      <c r="F1540" s="24">
        <v>4246.92</v>
      </c>
      <c r="G1540" s="24">
        <v>0</v>
      </c>
      <c r="H1540" s="24">
        <v>0</v>
      </c>
      <c r="I1540" s="24">
        <v>4246.92</v>
      </c>
      <c r="J1540" s="24">
        <v>0</v>
      </c>
      <c r="K1540" s="77">
        <v>45200</v>
      </c>
    </row>
    <row r="1541" spans="1:11" s="51" customFormat="1" ht="25.95" customHeight="1" x14ac:dyDescent="0.25">
      <c r="A1541" s="245" t="s">
        <v>1864</v>
      </c>
      <c r="B1541" s="245"/>
      <c r="C1541" s="245"/>
      <c r="D1541" s="245"/>
      <c r="E1541" s="245"/>
      <c r="F1541" s="151">
        <f>F1540+F1539+F1538</f>
        <v>7434.7</v>
      </c>
      <c r="G1541" s="151">
        <f t="shared" ref="G1541:J1541" si="100">G1540+G1539+G1538</f>
        <v>0</v>
      </c>
      <c r="H1541" s="151">
        <f t="shared" si="100"/>
        <v>0</v>
      </c>
      <c r="I1541" s="151">
        <f t="shared" si="100"/>
        <v>7434.7</v>
      </c>
      <c r="J1541" s="151">
        <f t="shared" si="100"/>
        <v>0</v>
      </c>
      <c r="K1541" s="36"/>
    </row>
    <row r="1542" spans="1:11" s="51" customFormat="1" ht="36" customHeight="1" x14ac:dyDescent="0.25">
      <c r="A1542" s="22">
        <v>1250</v>
      </c>
      <c r="B1542" s="197" t="s">
        <v>1865</v>
      </c>
      <c r="C1542" s="25" t="s">
        <v>1866</v>
      </c>
      <c r="D1542" s="136" t="s">
        <v>49</v>
      </c>
      <c r="E1542" s="136" t="s">
        <v>21</v>
      </c>
      <c r="F1542" s="144">
        <v>1243.99803</v>
      </c>
      <c r="G1542" s="144">
        <v>1243.99803</v>
      </c>
      <c r="H1542" s="144">
        <v>0</v>
      </c>
      <c r="I1542" s="144">
        <v>0</v>
      </c>
      <c r="J1542" s="144">
        <v>0</v>
      </c>
      <c r="K1542" s="77">
        <v>44562</v>
      </c>
    </row>
    <row r="1543" spans="1:11" s="51" customFormat="1" ht="44.4" customHeight="1" x14ac:dyDescent="0.25">
      <c r="A1543" s="22">
        <v>1251</v>
      </c>
      <c r="B1543" s="231"/>
      <c r="C1543" s="25" t="s">
        <v>1867</v>
      </c>
      <c r="D1543" s="136" t="s">
        <v>1308</v>
      </c>
      <c r="E1543" s="136" t="s">
        <v>21</v>
      </c>
      <c r="F1543" s="144">
        <v>550.93122000000005</v>
      </c>
      <c r="G1543" s="144">
        <v>550.93122000000005</v>
      </c>
      <c r="H1543" s="144">
        <v>0</v>
      </c>
      <c r="I1543" s="144">
        <v>0</v>
      </c>
      <c r="J1543" s="144">
        <v>0</v>
      </c>
      <c r="K1543" s="77">
        <v>44562</v>
      </c>
    </row>
    <row r="1544" spans="1:11" s="51" customFormat="1" ht="52.2" customHeight="1" x14ac:dyDescent="0.25">
      <c r="A1544" s="22">
        <v>1252</v>
      </c>
      <c r="B1544" s="231"/>
      <c r="C1544" s="25" t="s">
        <v>1868</v>
      </c>
      <c r="D1544" s="136" t="s">
        <v>1310</v>
      </c>
      <c r="E1544" s="136" t="s">
        <v>21</v>
      </c>
      <c r="F1544" s="144">
        <v>310.03899999999999</v>
      </c>
      <c r="G1544" s="144">
        <v>310.03899999999999</v>
      </c>
      <c r="H1544" s="144">
        <v>0</v>
      </c>
      <c r="I1544" s="144">
        <v>0</v>
      </c>
      <c r="J1544" s="144">
        <v>0</v>
      </c>
      <c r="K1544" s="77">
        <v>44562</v>
      </c>
    </row>
    <row r="1545" spans="1:11" s="51" customFormat="1" ht="27" customHeight="1" x14ac:dyDescent="0.25">
      <c r="A1545" s="245" t="s">
        <v>1869</v>
      </c>
      <c r="B1545" s="245"/>
      <c r="C1545" s="245"/>
      <c r="D1545" s="245"/>
      <c r="E1545" s="245"/>
      <c r="F1545" s="140">
        <f>SUM(F1542:F1544)</f>
        <v>2104.9682499999999</v>
      </c>
      <c r="G1545" s="140">
        <f t="shared" ref="G1545:J1545" si="101">SUM(G1542:G1544)</f>
        <v>2104.9682499999999</v>
      </c>
      <c r="H1545" s="140">
        <f t="shared" si="101"/>
        <v>0</v>
      </c>
      <c r="I1545" s="140">
        <f t="shared" si="101"/>
        <v>0</v>
      </c>
      <c r="J1545" s="140">
        <f t="shared" si="101"/>
        <v>0</v>
      </c>
      <c r="K1545" s="39"/>
    </row>
    <row r="1546" spans="1:11" s="51" customFormat="1" ht="37.799999999999997" customHeight="1" x14ac:dyDescent="0.25">
      <c r="A1546" s="22">
        <v>1253</v>
      </c>
      <c r="B1546" s="197" t="s">
        <v>1865</v>
      </c>
      <c r="C1546" s="25" t="s">
        <v>1870</v>
      </c>
      <c r="D1546" s="136" t="s">
        <v>1871</v>
      </c>
      <c r="E1546" s="136" t="s">
        <v>21</v>
      </c>
      <c r="F1546" s="144">
        <f>H1546+I1546</f>
        <v>1978.7</v>
      </c>
      <c r="G1546" s="144">
        <v>0</v>
      </c>
      <c r="H1546" s="144">
        <v>1808</v>
      </c>
      <c r="I1546" s="144">
        <v>170.7</v>
      </c>
      <c r="J1546" s="144">
        <v>0</v>
      </c>
      <c r="K1546" s="77">
        <v>44927</v>
      </c>
    </row>
    <row r="1547" spans="1:11" s="51" customFormat="1" ht="41.4" customHeight="1" x14ac:dyDescent="0.25">
      <c r="A1547" s="22">
        <v>1254</v>
      </c>
      <c r="B1547" s="231"/>
      <c r="C1547" s="25" t="s">
        <v>1872</v>
      </c>
      <c r="D1547" s="136" t="s">
        <v>1370</v>
      </c>
      <c r="E1547" s="136" t="s">
        <v>21</v>
      </c>
      <c r="F1547" s="144">
        <v>1118.7</v>
      </c>
      <c r="G1547" s="144">
        <v>0</v>
      </c>
      <c r="H1547" s="144">
        <v>1078.3</v>
      </c>
      <c r="I1547" s="144">
        <v>40.299999999999997</v>
      </c>
      <c r="J1547" s="144">
        <v>0</v>
      </c>
      <c r="K1547" s="77">
        <v>44927</v>
      </c>
    </row>
    <row r="1548" spans="1:11" s="51" customFormat="1" ht="72" customHeight="1" x14ac:dyDescent="0.25">
      <c r="A1548" s="22">
        <v>1255</v>
      </c>
      <c r="B1548" s="231"/>
      <c r="C1548" s="25" t="s">
        <v>1873</v>
      </c>
      <c r="D1548" s="136" t="s">
        <v>1581</v>
      </c>
      <c r="E1548" s="136" t="s">
        <v>21</v>
      </c>
      <c r="F1548" s="144">
        <v>368.3</v>
      </c>
      <c r="G1548" s="144">
        <v>0</v>
      </c>
      <c r="H1548" s="144">
        <v>260.89999999999998</v>
      </c>
      <c r="I1548" s="144">
        <v>107.4</v>
      </c>
      <c r="J1548" s="144">
        <v>0</v>
      </c>
      <c r="K1548" s="77">
        <v>44927</v>
      </c>
    </row>
    <row r="1549" spans="1:11" s="51" customFormat="1" ht="28.95" customHeight="1" x14ac:dyDescent="0.25">
      <c r="A1549" s="245" t="s">
        <v>1874</v>
      </c>
      <c r="B1549" s="245"/>
      <c r="C1549" s="245"/>
      <c r="D1549" s="245"/>
      <c r="E1549" s="245"/>
      <c r="F1549" s="140">
        <f>SUM(F1546:F1548)</f>
        <v>3465.7000000000003</v>
      </c>
      <c r="G1549" s="140">
        <f t="shared" ref="G1549:I1549" si="102">SUM(G1546:G1548)</f>
        <v>0</v>
      </c>
      <c r="H1549" s="140">
        <f t="shared" si="102"/>
        <v>3147.2000000000003</v>
      </c>
      <c r="I1549" s="140">
        <f t="shared" si="102"/>
        <v>318.39999999999998</v>
      </c>
      <c r="J1549" s="140">
        <v>0</v>
      </c>
      <c r="K1549" s="38"/>
    </row>
    <row r="1550" spans="1:11" s="51" customFormat="1" ht="81.599999999999994" customHeight="1" x14ac:dyDescent="0.25">
      <c r="A1550" s="22">
        <v>1256</v>
      </c>
      <c r="B1550" s="197" t="s">
        <v>1875</v>
      </c>
      <c r="C1550" s="25" t="s">
        <v>1876</v>
      </c>
      <c r="D1550" s="189" t="s">
        <v>1877</v>
      </c>
      <c r="E1550" s="16" t="s">
        <v>12</v>
      </c>
      <c r="F1550" s="69">
        <f>ROUND((88186.69)/1000,2)</f>
        <v>88.19</v>
      </c>
      <c r="G1550" s="69">
        <f>ROUND((88186.69)/1000,2)</f>
        <v>88.19</v>
      </c>
      <c r="H1550" s="24">
        <v>0</v>
      </c>
      <c r="I1550" s="24">
        <v>0</v>
      </c>
      <c r="J1550" s="24">
        <v>0</v>
      </c>
      <c r="K1550" s="77">
        <v>44652</v>
      </c>
    </row>
    <row r="1551" spans="1:11" s="51" customFormat="1" ht="54.6" customHeight="1" x14ac:dyDescent="0.25">
      <c r="A1551" s="22">
        <v>1257</v>
      </c>
      <c r="B1551" s="231"/>
      <c r="C1551" s="25" t="s">
        <v>1878</v>
      </c>
      <c r="D1551" s="189" t="s">
        <v>1879</v>
      </c>
      <c r="E1551" s="16" t="s">
        <v>12</v>
      </c>
      <c r="F1551" s="69">
        <f>ROUND((103000)/1000,2)</f>
        <v>103</v>
      </c>
      <c r="G1551" s="69">
        <f>ROUND((103000)/1000,2)</f>
        <v>103</v>
      </c>
      <c r="H1551" s="24">
        <v>0</v>
      </c>
      <c r="I1551" s="24">
        <v>0</v>
      </c>
      <c r="J1551" s="24">
        <v>0</v>
      </c>
      <c r="K1551" s="77">
        <v>44652</v>
      </c>
    </row>
    <row r="1552" spans="1:11" s="51" customFormat="1" ht="73.2" customHeight="1" x14ac:dyDescent="0.25">
      <c r="A1552" s="22">
        <v>1258</v>
      </c>
      <c r="B1552" s="231"/>
      <c r="C1552" s="25" t="s">
        <v>1880</v>
      </c>
      <c r="D1552" s="189" t="s">
        <v>1881</v>
      </c>
      <c r="E1552" s="16" t="s">
        <v>12</v>
      </c>
      <c r="F1552" s="69">
        <f>ROUND((129733.33)/1000,2)</f>
        <v>129.72999999999999</v>
      </c>
      <c r="G1552" s="69">
        <f>ROUND((129733.33)/1000,2)</f>
        <v>129.72999999999999</v>
      </c>
      <c r="H1552" s="24">
        <v>0</v>
      </c>
      <c r="I1552" s="24">
        <v>0</v>
      </c>
      <c r="J1552" s="24">
        <v>0</v>
      </c>
      <c r="K1552" s="77">
        <v>44652</v>
      </c>
    </row>
    <row r="1553" spans="1:11" s="51" customFormat="1" ht="43.2" customHeight="1" x14ac:dyDescent="0.25">
      <c r="A1553" s="22">
        <v>1259</v>
      </c>
      <c r="B1553" s="231"/>
      <c r="C1553" s="25" t="s">
        <v>1882</v>
      </c>
      <c r="D1553" s="189" t="s">
        <v>1883</v>
      </c>
      <c r="E1553" s="16" t="s">
        <v>12</v>
      </c>
      <c r="F1553" s="69">
        <f>ROUND((149981.66)/1000,2)</f>
        <v>149.97999999999999</v>
      </c>
      <c r="G1553" s="69">
        <f>ROUND((149981.66)/1000,2)</f>
        <v>149.97999999999999</v>
      </c>
      <c r="H1553" s="24">
        <v>0</v>
      </c>
      <c r="I1553" s="24">
        <v>0</v>
      </c>
      <c r="J1553" s="24">
        <v>0</v>
      </c>
      <c r="K1553" s="77">
        <v>44652</v>
      </c>
    </row>
    <row r="1554" spans="1:11" s="51" customFormat="1" ht="97.2" customHeight="1" x14ac:dyDescent="0.25">
      <c r="A1554" s="22">
        <v>1260</v>
      </c>
      <c r="B1554" s="231"/>
      <c r="C1554" s="25" t="s">
        <v>1884</v>
      </c>
      <c r="D1554" s="189" t="s">
        <v>1885</v>
      </c>
      <c r="E1554" s="16" t="s">
        <v>12</v>
      </c>
      <c r="F1554" s="69">
        <f>ROUND((399997.52)/1000,2)</f>
        <v>400</v>
      </c>
      <c r="G1554" s="69">
        <f>ROUND((399997.52)/1000,2)</f>
        <v>400</v>
      </c>
      <c r="H1554" s="24">
        <v>0</v>
      </c>
      <c r="I1554" s="24">
        <v>0</v>
      </c>
      <c r="J1554" s="24">
        <v>0</v>
      </c>
      <c r="K1554" s="77">
        <v>44682</v>
      </c>
    </row>
    <row r="1555" spans="1:11" s="51" customFormat="1" ht="36" customHeight="1" x14ac:dyDescent="0.25">
      <c r="A1555" s="22">
        <v>1261</v>
      </c>
      <c r="B1555" s="231"/>
      <c r="C1555" s="25" t="s">
        <v>1886</v>
      </c>
      <c r="D1555" s="189" t="s">
        <v>1887</v>
      </c>
      <c r="E1555" s="16" t="s">
        <v>12</v>
      </c>
      <c r="F1555" s="69">
        <f>ROUND((56470.97)/1000,2)</f>
        <v>56.47</v>
      </c>
      <c r="G1555" s="69">
        <f>ROUND((56470.97)/1000,2)</f>
        <v>56.47</v>
      </c>
      <c r="H1555" s="24">
        <v>0</v>
      </c>
      <c r="I1555" s="24">
        <v>0</v>
      </c>
      <c r="J1555" s="24">
        <v>0</v>
      </c>
      <c r="K1555" s="77">
        <v>44713</v>
      </c>
    </row>
    <row r="1556" spans="1:11" s="51" customFormat="1" ht="46.2" customHeight="1" x14ac:dyDescent="0.25">
      <c r="A1556" s="22">
        <v>1262</v>
      </c>
      <c r="B1556" s="231"/>
      <c r="C1556" s="25" t="s">
        <v>1888</v>
      </c>
      <c r="D1556" s="189" t="s">
        <v>1889</v>
      </c>
      <c r="E1556" s="16" t="s">
        <v>12</v>
      </c>
      <c r="F1556" s="69">
        <f>ROUND((70198)/1000,2)</f>
        <v>70.2</v>
      </c>
      <c r="G1556" s="69">
        <f>ROUND((70198)/1000,2)</f>
        <v>70.2</v>
      </c>
      <c r="H1556" s="24">
        <v>0</v>
      </c>
      <c r="I1556" s="24">
        <v>0</v>
      </c>
      <c r="J1556" s="24">
        <v>0</v>
      </c>
      <c r="K1556" s="77">
        <v>44713</v>
      </c>
    </row>
    <row r="1557" spans="1:11" s="51" customFormat="1" ht="43.2" customHeight="1" x14ac:dyDescent="0.25">
      <c r="A1557" s="22">
        <v>1263</v>
      </c>
      <c r="B1557" s="231"/>
      <c r="C1557" s="25" t="s">
        <v>1890</v>
      </c>
      <c r="D1557" s="189" t="s">
        <v>1891</v>
      </c>
      <c r="E1557" s="16" t="s">
        <v>12</v>
      </c>
      <c r="F1557" s="69">
        <f>ROUND((140000.02)/1000,2)</f>
        <v>140</v>
      </c>
      <c r="G1557" s="69">
        <f>ROUND((140000.02)/1000,2)</f>
        <v>140</v>
      </c>
      <c r="H1557" s="24">
        <v>0</v>
      </c>
      <c r="I1557" s="24">
        <v>0</v>
      </c>
      <c r="J1557" s="24">
        <v>0</v>
      </c>
      <c r="K1557" s="77">
        <v>44713</v>
      </c>
    </row>
    <row r="1558" spans="1:11" s="51" customFormat="1" ht="49.8" customHeight="1" x14ac:dyDescent="0.25">
      <c r="A1558" s="22">
        <v>1264</v>
      </c>
      <c r="B1558" s="231"/>
      <c r="C1558" s="25" t="s">
        <v>1892</v>
      </c>
      <c r="D1558" s="189" t="s">
        <v>1893</v>
      </c>
      <c r="E1558" s="16" t="s">
        <v>12</v>
      </c>
      <c r="F1558" s="69">
        <f>ROUND((201002.15)/1000,2)</f>
        <v>201</v>
      </c>
      <c r="G1558" s="69">
        <f>ROUND((201002.15)/1000,2)</f>
        <v>201</v>
      </c>
      <c r="H1558" s="24">
        <v>0</v>
      </c>
      <c r="I1558" s="24">
        <v>0</v>
      </c>
      <c r="J1558" s="24">
        <v>0</v>
      </c>
      <c r="K1558" s="77">
        <v>44713</v>
      </c>
    </row>
    <row r="1559" spans="1:11" s="51" customFormat="1" ht="44.4" customHeight="1" x14ac:dyDescent="0.25">
      <c r="A1559" s="22">
        <v>1265</v>
      </c>
      <c r="B1559" s="231"/>
      <c r="C1559" s="25" t="s">
        <v>1894</v>
      </c>
      <c r="D1559" s="189" t="s">
        <v>1895</v>
      </c>
      <c r="E1559" s="16" t="s">
        <v>12</v>
      </c>
      <c r="F1559" s="69">
        <f>ROUND((249116.68)/1000,2)</f>
        <v>249.12</v>
      </c>
      <c r="G1559" s="69">
        <f>ROUND((249116.68)/1000,2)</f>
        <v>249.12</v>
      </c>
      <c r="H1559" s="24">
        <v>0</v>
      </c>
      <c r="I1559" s="24">
        <v>0</v>
      </c>
      <c r="J1559" s="24">
        <v>0</v>
      </c>
      <c r="K1559" s="77">
        <v>44713</v>
      </c>
    </row>
    <row r="1560" spans="1:11" s="51" customFormat="1" ht="69.599999999999994" customHeight="1" x14ac:dyDescent="0.25">
      <c r="A1560" s="22">
        <v>1266</v>
      </c>
      <c r="B1560" s="231"/>
      <c r="C1560" s="25" t="s">
        <v>1896</v>
      </c>
      <c r="D1560" s="189" t="s">
        <v>1897</v>
      </c>
      <c r="E1560" s="16" t="s">
        <v>12</v>
      </c>
      <c r="F1560" s="69">
        <f>ROUND((11787.7)/1000,2)</f>
        <v>11.79</v>
      </c>
      <c r="G1560" s="69">
        <f>ROUND((11787.7)/1000,2)</f>
        <v>11.79</v>
      </c>
      <c r="H1560" s="24">
        <v>0</v>
      </c>
      <c r="I1560" s="24">
        <v>0</v>
      </c>
      <c r="J1560" s="24">
        <v>0</v>
      </c>
      <c r="K1560" s="35">
        <v>44743</v>
      </c>
    </row>
    <row r="1561" spans="1:11" s="51" customFormat="1" ht="57.6" customHeight="1" x14ac:dyDescent="0.25">
      <c r="A1561" s="22">
        <v>1267</v>
      </c>
      <c r="B1561" s="231"/>
      <c r="C1561" s="25" t="s">
        <v>1898</v>
      </c>
      <c r="D1561" s="189" t="s">
        <v>1899</v>
      </c>
      <c r="E1561" s="16" t="s">
        <v>12</v>
      </c>
      <c r="F1561" s="69">
        <f>ROUND((34395.5)/1000,2)</f>
        <v>34.4</v>
      </c>
      <c r="G1561" s="69">
        <f>ROUND((34395.5)/1000,2)</f>
        <v>34.4</v>
      </c>
      <c r="H1561" s="24">
        <v>0</v>
      </c>
      <c r="I1561" s="24">
        <v>0</v>
      </c>
      <c r="J1561" s="24">
        <v>0</v>
      </c>
      <c r="K1561" s="35">
        <v>44743</v>
      </c>
    </row>
    <row r="1562" spans="1:11" s="51" customFormat="1" ht="55.8" customHeight="1" x14ac:dyDescent="0.25">
      <c r="A1562" s="22">
        <v>1268</v>
      </c>
      <c r="B1562" s="231"/>
      <c r="C1562" s="25" t="s">
        <v>1900</v>
      </c>
      <c r="D1562" s="189" t="s">
        <v>1901</v>
      </c>
      <c r="E1562" s="16" t="s">
        <v>12</v>
      </c>
      <c r="F1562" s="69">
        <f>ROUND((35820.36)/1000,2)</f>
        <v>35.82</v>
      </c>
      <c r="G1562" s="69">
        <f>ROUND((35820.36)/1000,2)</f>
        <v>35.82</v>
      </c>
      <c r="H1562" s="24">
        <v>0</v>
      </c>
      <c r="I1562" s="24">
        <v>0</v>
      </c>
      <c r="J1562" s="24">
        <v>0</v>
      </c>
      <c r="K1562" s="35">
        <v>44743</v>
      </c>
    </row>
    <row r="1563" spans="1:11" s="51" customFormat="1" ht="42.6" customHeight="1" x14ac:dyDescent="0.25">
      <c r="A1563" s="22">
        <v>1269</v>
      </c>
      <c r="B1563" s="231"/>
      <c r="C1563" s="25" t="s">
        <v>1902</v>
      </c>
      <c r="D1563" s="189" t="s">
        <v>1903</v>
      </c>
      <c r="E1563" s="16" t="s">
        <v>12</v>
      </c>
      <c r="F1563" s="69">
        <f>ROUND((83246.39)/1000,2)</f>
        <v>83.25</v>
      </c>
      <c r="G1563" s="69">
        <f>ROUND((83246.39)/1000,2)</f>
        <v>83.25</v>
      </c>
      <c r="H1563" s="24">
        <v>0</v>
      </c>
      <c r="I1563" s="24">
        <v>0</v>
      </c>
      <c r="J1563" s="24">
        <v>0</v>
      </c>
      <c r="K1563" s="35">
        <v>44743</v>
      </c>
    </row>
    <row r="1564" spans="1:11" s="51" customFormat="1" ht="66.599999999999994" customHeight="1" x14ac:dyDescent="0.25">
      <c r="A1564" s="22">
        <v>1270</v>
      </c>
      <c r="B1564" s="231"/>
      <c r="C1564" s="25" t="s">
        <v>1904</v>
      </c>
      <c r="D1564" s="189" t="s">
        <v>93</v>
      </c>
      <c r="E1564" s="16" t="s">
        <v>12</v>
      </c>
      <c r="F1564" s="69">
        <f>ROUND((181538.34)/1000,2)</f>
        <v>181.54</v>
      </c>
      <c r="G1564" s="69">
        <f>ROUND((181538.34)/1000,2)</f>
        <v>181.54</v>
      </c>
      <c r="H1564" s="24">
        <v>0</v>
      </c>
      <c r="I1564" s="24">
        <v>0</v>
      </c>
      <c r="J1564" s="24">
        <v>0</v>
      </c>
      <c r="K1564" s="35">
        <v>44743</v>
      </c>
    </row>
    <row r="1565" spans="1:11" s="51" customFormat="1" ht="41.4" customHeight="1" x14ac:dyDescent="0.25">
      <c r="A1565" s="22">
        <v>1271</v>
      </c>
      <c r="B1565" s="231"/>
      <c r="C1565" s="25" t="s">
        <v>1905</v>
      </c>
      <c r="D1565" s="189" t="s">
        <v>1383</v>
      </c>
      <c r="E1565" s="16" t="s">
        <v>12</v>
      </c>
      <c r="F1565" s="69">
        <f>ROUND((347085.81)/1000,2)</f>
        <v>347.09</v>
      </c>
      <c r="G1565" s="69">
        <f>ROUND((347085.81)/1000,2)</f>
        <v>347.09</v>
      </c>
      <c r="H1565" s="24">
        <v>0</v>
      </c>
      <c r="I1565" s="24">
        <v>0</v>
      </c>
      <c r="J1565" s="24">
        <v>0</v>
      </c>
      <c r="K1565" s="35">
        <v>44743</v>
      </c>
    </row>
    <row r="1566" spans="1:11" s="51" customFormat="1" ht="41.4" customHeight="1" x14ac:dyDescent="0.25">
      <c r="A1566" s="22">
        <v>1272</v>
      </c>
      <c r="B1566" s="231"/>
      <c r="C1566" s="25" t="s">
        <v>1906</v>
      </c>
      <c r="D1566" s="189" t="s">
        <v>1308</v>
      </c>
      <c r="E1566" s="16" t="s">
        <v>12</v>
      </c>
      <c r="F1566" s="69">
        <v>194.4</v>
      </c>
      <c r="G1566" s="24">
        <v>0</v>
      </c>
      <c r="H1566" s="24">
        <v>175.1</v>
      </c>
      <c r="I1566" s="24">
        <v>19.3</v>
      </c>
      <c r="J1566" s="24">
        <v>0</v>
      </c>
      <c r="K1566" s="77">
        <v>44835</v>
      </c>
    </row>
    <row r="1567" spans="1:11" s="51" customFormat="1" ht="40.200000000000003" customHeight="1" x14ac:dyDescent="0.25">
      <c r="A1567" s="22">
        <v>1273</v>
      </c>
      <c r="B1567" s="231"/>
      <c r="C1567" s="25" t="s">
        <v>1907</v>
      </c>
      <c r="D1567" s="189" t="s">
        <v>1908</v>
      </c>
      <c r="E1567" s="16" t="s">
        <v>12</v>
      </c>
      <c r="F1567" s="69">
        <v>147.25</v>
      </c>
      <c r="G1567" s="24">
        <v>0</v>
      </c>
      <c r="H1567" s="24">
        <v>147.25</v>
      </c>
      <c r="I1567" s="24">
        <v>0</v>
      </c>
      <c r="J1567" s="24">
        <v>0</v>
      </c>
      <c r="K1567" s="77">
        <v>44835</v>
      </c>
    </row>
    <row r="1568" spans="1:11" s="51" customFormat="1" ht="55.2" customHeight="1" x14ac:dyDescent="0.25">
      <c r="A1568" s="22">
        <v>1274</v>
      </c>
      <c r="B1568" s="231"/>
      <c r="C1568" s="25" t="s">
        <v>1909</v>
      </c>
      <c r="D1568" s="189" t="s">
        <v>1910</v>
      </c>
      <c r="E1568" s="16" t="s">
        <v>12</v>
      </c>
      <c r="F1568" s="69">
        <v>1361.14</v>
      </c>
      <c r="G1568" s="24">
        <v>0</v>
      </c>
      <c r="H1568" s="24">
        <v>1248.6099999999999</v>
      </c>
      <c r="I1568" s="24">
        <v>112.53</v>
      </c>
      <c r="J1568" s="24">
        <v>0</v>
      </c>
      <c r="K1568" s="77">
        <v>44835</v>
      </c>
    </row>
    <row r="1569" spans="1:11" s="51" customFormat="1" ht="28.2" customHeight="1" x14ac:dyDescent="0.25">
      <c r="A1569" s="245" t="s">
        <v>1911</v>
      </c>
      <c r="B1569" s="245"/>
      <c r="C1569" s="245"/>
      <c r="D1569" s="245"/>
      <c r="E1569" s="245"/>
      <c r="F1569" s="140">
        <f>SUM(F1550:F1568)</f>
        <v>3984.37</v>
      </c>
      <c r="G1569" s="140">
        <f>SUM(G1550:G1568)</f>
        <v>2281.58</v>
      </c>
      <c r="H1569" s="140">
        <f>SUM(H1550:H1568)</f>
        <v>1570.96</v>
      </c>
      <c r="I1569" s="140">
        <f>SUM(I1550:I1568)</f>
        <v>131.83000000000001</v>
      </c>
      <c r="J1569" s="140">
        <f>SUM(J1550:J1568)</f>
        <v>0</v>
      </c>
      <c r="K1569" s="38"/>
    </row>
    <row r="1570" spans="1:11" s="51" customFormat="1" ht="80.400000000000006" customHeight="1" x14ac:dyDescent="0.25">
      <c r="A1570" s="22">
        <v>1275</v>
      </c>
      <c r="B1570" s="197" t="s">
        <v>1875</v>
      </c>
      <c r="C1570" s="25" t="s">
        <v>1912</v>
      </c>
      <c r="D1570" s="189" t="s">
        <v>1877</v>
      </c>
      <c r="E1570" s="16" t="s">
        <v>12</v>
      </c>
      <c r="F1570" s="69">
        <f>ROUND((88753.09)/1000,2)</f>
        <v>88.75</v>
      </c>
      <c r="G1570" s="69">
        <v>0</v>
      </c>
      <c r="H1570" s="69">
        <f>ROUND((88753.09)/1000,2)</f>
        <v>88.75</v>
      </c>
      <c r="I1570" s="69">
        <v>0</v>
      </c>
      <c r="J1570" s="69">
        <v>0</v>
      </c>
      <c r="K1570" s="77">
        <v>45017</v>
      </c>
    </row>
    <row r="1571" spans="1:11" s="51" customFormat="1" ht="58.2" customHeight="1" x14ac:dyDescent="0.25">
      <c r="A1571" s="22">
        <v>1276</v>
      </c>
      <c r="B1571" s="231"/>
      <c r="C1571" s="25" t="s">
        <v>1913</v>
      </c>
      <c r="D1571" s="189" t="s">
        <v>1879</v>
      </c>
      <c r="E1571" s="16" t="s">
        <v>12</v>
      </c>
      <c r="F1571" s="69">
        <f>ROUND((103000)/1000,2)</f>
        <v>103</v>
      </c>
      <c r="G1571" s="69">
        <v>0</v>
      </c>
      <c r="H1571" s="69">
        <f>ROUND((103000)/1000,2)</f>
        <v>103</v>
      </c>
      <c r="I1571" s="69">
        <v>0</v>
      </c>
      <c r="J1571" s="69">
        <v>0</v>
      </c>
      <c r="K1571" s="77">
        <v>45017</v>
      </c>
    </row>
    <row r="1572" spans="1:11" s="51" customFormat="1" ht="73.2" customHeight="1" x14ac:dyDescent="0.25">
      <c r="A1572" s="22">
        <v>1277</v>
      </c>
      <c r="B1572" s="231"/>
      <c r="C1572" s="25" t="s">
        <v>1914</v>
      </c>
      <c r="D1572" s="189" t="s">
        <v>1881</v>
      </c>
      <c r="E1572" s="16" t="s">
        <v>12</v>
      </c>
      <c r="F1572" s="69">
        <f>ROUND((129733.33)/1000,2)</f>
        <v>129.72999999999999</v>
      </c>
      <c r="G1572" s="69">
        <v>0</v>
      </c>
      <c r="H1572" s="69">
        <f>ROUND((129733.33)/1000,2)</f>
        <v>129.72999999999999</v>
      </c>
      <c r="I1572" s="69">
        <v>0</v>
      </c>
      <c r="J1572" s="69">
        <v>0</v>
      </c>
      <c r="K1572" s="77">
        <v>45017</v>
      </c>
    </row>
    <row r="1573" spans="1:11" s="51" customFormat="1" ht="39" customHeight="1" x14ac:dyDescent="0.25">
      <c r="A1573" s="22">
        <v>1278</v>
      </c>
      <c r="B1573" s="231"/>
      <c r="C1573" s="25" t="s">
        <v>1915</v>
      </c>
      <c r="D1573" s="189" t="s">
        <v>1883</v>
      </c>
      <c r="E1573" s="16" t="s">
        <v>12</v>
      </c>
      <c r="F1573" s="69">
        <f>ROUND((102148.33)/1000,2)</f>
        <v>102.15</v>
      </c>
      <c r="G1573" s="69">
        <v>0</v>
      </c>
      <c r="H1573" s="69">
        <f>ROUND((102148.33)/1000,2)</f>
        <v>102.15</v>
      </c>
      <c r="I1573" s="69">
        <v>0</v>
      </c>
      <c r="J1573" s="69">
        <v>0</v>
      </c>
      <c r="K1573" s="77">
        <v>45017</v>
      </c>
    </row>
    <row r="1574" spans="1:11" s="51" customFormat="1" ht="93.6" customHeight="1" x14ac:dyDescent="0.25">
      <c r="A1574" s="22">
        <v>1279</v>
      </c>
      <c r="B1574" s="231"/>
      <c r="C1574" s="25" t="s">
        <v>1916</v>
      </c>
      <c r="D1574" s="189" t="s">
        <v>1885</v>
      </c>
      <c r="E1574" s="16" t="s">
        <v>12</v>
      </c>
      <c r="F1574" s="69">
        <f>ROUND((299997.52)/1000,2)</f>
        <v>300</v>
      </c>
      <c r="G1574" s="69">
        <v>0</v>
      </c>
      <c r="H1574" s="69">
        <f>ROUND((299997.52)/1000,2)</f>
        <v>300</v>
      </c>
      <c r="I1574" s="69">
        <v>0</v>
      </c>
      <c r="J1574" s="69">
        <v>0</v>
      </c>
      <c r="K1574" s="77">
        <v>45047</v>
      </c>
    </row>
    <row r="1575" spans="1:11" s="51" customFormat="1" ht="40.799999999999997" customHeight="1" x14ac:dyDescent="0.25">
      <c r="A1575" s="22">
        <v>1280</v>
      </c>
      <c r="B1575" s="231"/>
      <c r="C1575" s="25" t="s">
        <v>1917</v>
      </c>
      <c r="D1575" s="189" t="s">
        <v>1889</v>
      </c>
      <c r="E1575" s="16" t="s">
        <v>12</v>
      </c>
      <c r="F1575" s="69">
        <f>ROUND((70198)/1000,2)</f>
        <v>70.2</v>
      </c>
      <c r="G1575" s="69">
        <v>0</v>
      </c>
      <c r="H1575" s="69">
        <f>ROUND((70198)/1000,2)</f>
        <v>70.2</v>
      </c>
      <c r="I1575" s="69">
        <v>0</v>
      </c>
      <c r="J1575" s="69">
        <v>0</v>
      </c>
      <c r="K1575" s="77">
        <v>45078</v>
      </c>
    </row>
    <row r="1576" spans="1:11" s="51" customFormat="1" ht="39" customHeight="1" x14ac:dyDescent="0.25">
      <c r="A1576" s="22">
        <v>1281</v>
      </c>
      <c r="B1576" s="231"/>
      <c r="C1576" s="25" t="s">
        <v>1918</v>
      </c>
      <c r="D1576" s="189" t="s">
        <v>1891</v>
      </c>
      <c r="E1576" s="16" t="s">
        <v>12</v>
      </c>
      <c r="F1576" s="69">
        <f>ROUND((140000.02)/1000,2)</f>
        <v>140</v>
      </c>
      <c r="G1576" s="69">
        <v>0</v>
      </c>
      <c r="H1576" s="69">
        <f>ROUND((140000.02)/1000,2)</f>
        <v>140</v>
      </c>
      <c r="I1576" s="69">
        <v>0</v>
      </c>
      <c r="J1576" s="69">
        <v>0</v>
      </c>
      <c r="K1576" s="77">
        <v>45078</v>
      </c>
    </row>
    <row r="1577" spans="1:11" s="51" customFormat="1" ht="73.2" customHeight="1" x14ac:dyDescent="0.25">
      <c r="A1577" s="22">
        <v>1282</v>
      </c>
      <c r="B1577" s="231"/>
      <c r="C1577" s="25" t="s">
        <v>1919</v>
      </c>
      <c r="D1577" s="189" t="s">
        <v>1897</v>
      </c>
      <c r="E1577" s="16" t="s">
        <v>12</v>
      </c>
      <c r="F1577" s="69">
        <f>ROUND((11787.7)/1000,2)</f>
        <v>11.79</v>
      </c>
      <c r="G1577" s="69">
        <v>0</v>
      </c>
      <c r="H1577" s="69">
        <f>ROUND((11787.7)/1000,2)</f>
        <v>11.79</v>
      </c>
      <c r="I1577" s="69">
        <v>0</v>
      </c>
      <c r="J1577" s="69">
        <v>0</v>
      </c>
      <c r="K1577" s="36">
        <v>45108</v>
      </c>
    </row>
    <row r="1578" spans="1:11" s="51" customFormat="1" ht="54" customHeight="1" x14ac:dyDescent="0.25">
      <c r="A1578" s="22">
        <v>1283</v>
      </c>
      <c r="B1578" s="231"/>
      <c r="C1578" s="25" t="s">
        <v>1920</v>
      </c>
      <c r="D1578" s="189" t="s">
        <v>1899</v>
      </c>
      <c r="E1578" s="16" t="s">
        <v>12</v>
      </c>
      <c r="F1578" s="69">
        <f>ROUND((33312.77)/1000,2)</f>
        <v>33.31</v>
      </c>
      <c r="G1578" s="69">
        <v>0</v>
      </c>
      <c r="H1578" s="69">
        <f>ROUND((33312.77)/1000,2)</f>
        <v>33.31</v>
      </c>
      <c r="I1578" s="69">
        <v>0</v>
      </c>
      <c r="J1578" s="69">
        <v>0</v>
      </c>
      <c r="K1578" s="36">
        <v>45108</v>
      </c>
    </row>
    <row r="1579" spans="1:11" s="51" customFormat="1" ht="55.2" customHeight="1" x14ac:dyDescent="0.25">
      <c r="A1579" s="22">
        <v>1284</v>
      </c>
      <c r="B1579" s="231"/>
      <c r="C1579" s="25" t="s">
        <v>1921</v>
      </c>
      <c r="D1579" s="189" t="s">
        <v>1901</v>
      </c>
      <c r="E1579" s="16" t="s">
        <v>12</v>
      </c>
      <c r="F1579" s="69">
        <f>ROUND((35820.36)/1000,2)</f>
        <v>35.82</v>
      </c>
      <c r="G1579" s="69">
        <v>0</v>
      </c>
      <c r="H1579" s="69">
        <f>ROUND((35820.36)/1000,2)</f>
        <v>35.82</v>
      </c>
      <c r="I1579" s="69">
        <v>0</v>
      </c>
      <c r="J1579" s="69">
        <v>0</v>
      </c>
      <c r="K1579" s="36">
        <v>45108</v>
      </c>
    </row>
    <row r="1580" spans="1:11" s="51" customFormat="1" ht="43.8" customHeight="1" x14ac:dyDescent="0.25">
      <c r="A1580" s="22">
        <v>1285</v>
      </c>
      <c r="B1580" s="231"/>
      <c r="C1580" s="25" t="s">
        <v>1922</v>
      </c>
      <c r="D1580" s="189" t="s">
        <v>1903</v>
      </c>
      <c r="E1580" s="16" t="s">
        <v>12</v>
      </c>
      <c r="F1580" s="69">
        <f>ROUND((83246.39)/1000,2)</f>
        <v>83.25</v>
      </c>
      <c r="G1580" s="69">
        <v>0</v>
      </c>
      <c r="H1580" s="69">
        <f>ROUND((83246.39)/1000,2)</f>
        <v>83.25</v>
      </c>
      <c r="I1580" s="69">
        <v>0</v>
      </c>
      <c r="J1580" s="69">
        <v>0</v>
      </c>
      <c r="K1580" s="36">
        <v>45108</v>
      </c>
    </row>
    <row r="1581" spans="1:11" s="51" customFormat="1" ht="66.599999999999994" customHeight="1" x14ac:dyDescent="0.25">
      <c r="A1581" s="22">
        <v>1286</v>
      </c>
      <c r="B1581" s="231"/>
      <c r="C1581" s="25" t="s">
        <v>1923</v>
      </c>
      <c r="D1581" s="189" t="s">
        <v>93</v>
      </c>
      <c r="E1581" s="16" t="s">
        <v>12</v>
      </c>
      <c r="F1581" s="69">
        <f>ROUND((157719.67)/1000,2)</f>
        <v>157.72</v>
      </c>
      <c r="G1581" s="69">
        <v>0</v>
      </c>
      <c r="H1581" s="69">
        <f>ROUND((157719.67)/1000,2)</f>
        <v>157.72</v>
      </c>
      <c r="I1581" s="69">
        <v>0</v>
      </c>
      <c r="J1581" s="69">
        <v>0</v>
      </c>
      <c r="K1581" s="36">
        <v>45108</v>
      </c>
    </row>
    <row r="1582" spans="1:11" s="51" customFormat="1" ht="33" customHeight="1" x14ac:dyDescent="0.25">
      <c r="A1582" s="22">
        <v>1287</v>
      </c>
      <c r="B1582" s="231"/>
      <c r="C1582" s="25" t="s">
        <v>1924</v>
      </c>
      <c r="D1582" s="189" t="s">
        <v>1383</v>
      </c>
      <c r="E1582" s="16" t="s">
        <v>12</v>
      </c>
      <c r="F1582" s="69">
        <f>ROUND((81585)/1000,2)</f>
        <v>81.59</v>
      </c>
      <c r="G1582" s="69">
        <v>0</v>
      </c>
      <c r="H1582" s="69">
        <f>ROUND((81585)/1000,2)</f>
        <v>81.59</v>
      </c>
      <c r="I1582" s="69">
        <v>0</v>
      </c>
      <c r="J1582" s="69">
        <v>0</v>
      </c>
      <c r="K1582" s="36">
        <v>45108</v>
      </c>
    </row>
    <row r="1583" spans="1:11" s="51" customFormat="1" ht="40.200000000000003" customHeight="1" x14ac:dyDescent="0.25">
      <c r="A1583" s="22">
        <v>1288</v>
      </c>
      <c r="B1583" s="231"/>
      <c r="C1583" s="25" t="s">
        <v>1925</v>
      </c>
      <c r="D1583" s="189" t="s">
        <v>1308</v>
      </c>
      <c r="E1583" s="16" t="s">
        <v>12</v>
      </c>
      <c r="F1583" s="69">
        <f>ROUND((175107.08)/1000,2)</f>
        <v>175.11</v>
      </c>
      <c r="G1583" s="69">
        <v>0</v>
      </c>
      <c r="H1583" s="69">
        <v>0</v>
      </c>
      <c r="I1583" s="69">
        <f>ROUND((175107.08)/1000,2)</f>
        <v>175.11</v>
      </c>
      <c r="J1583" s="69">
        <v>0</v>
      </c>
      <c r="K1583" s="77">
        <v>45200</v>
      </c>
    </row>
    <row r="1584" spans="1:11" s="51" customFormat="1" ht="42" customHeight="1" x14ac:dyDescent="0.25">
      <c r="A1584" s="22">
        <v>1289</v>
      </c>
      <c r="B1584" s="231"/>
      <c r="C1584" s="25" t="s">
        <v>1926</v>
      </c>
      <c r="D1584" s="189" t="s">
        <v>1908</v>
      </c>
      <c r="E1584" s="16" t="s">
        <v>12</v>
      </c>
      <c r="F1584" s="69">
        <f>ROUND((147250)/1000,2)</f>
        <v>147.25</v>
      </c>
      <c r="G1584" s="69">
        <v>0</v>
      </c>
      <c r="H1584" s="69">
        <v>0</v>
      </c>
      <c r="I1584" s="69">
        <f>ROUND((147250)/1000,2)</f>
        <v>147.25</v>
      </c>
      <c r="J1584" s="69">
        <v>0</v>
      </c>
      <c r="K1584" s="77">
        <v>45200</v>
      </c>
    </row>
    <row r="1585" spans="1:11" s="51" customFormat="1" ht="59.4" customHeight="1" x14ac:dyDescent="0.25">
      <c r="A1585" s="22">
        <v>1290</v>
      </c>
      <c r="B1585" s="231"/>
      <c r="C1585" s="25" t="s">
        <v>1927</v>
      </c>
      <c r="D1585" s="189" t="s">
        <v>1910</v>
      </c>
      <c r="E1585" s="16" t="s">
        <v>12</v>
      </c>
      <c r="F1585" s="69">
        <f>ROUND((1248900.56)/1000,2)</f>
        <v>1248.9000000000001</v>
      </c>
      <c r="G1585" s="69">
        <v>0</v>
      </c>
      <c r="H1585" s="69">
        <v>0</v>
      </c>
      <c r="I1585" s="69">
        <f>ROUND((1248900.56)/1000,2)</f>
        <v>1248.9000000000001</v>
      </c>
      <c r="J1585" s="69">
        <v>0</v>
      </c>
      <c r="K1585" s="77">
        <v>45200</v>
      </c>
    </row>
    <row r="1586" spans="1:11" s="51" customFormat="1" ht="29.4" customHeight="1" x14ac:dyDescent="0.25">
      <c r="A1586" s="245" t="s">
        <v>1928</v>
      </c>
      <c r="B1586" s="245"/>
      <c r="C1586" s="245"/>
      <c r="D1586" s="245"/>
      <c r="E1586" s="245"/>
      <c r="F1586" s="140">
        <f>SUM(F1570:F1585)</f>
        <v>2908.57</v>
      </c>
      <c r="G1586" s="140">
        <f>SUM(G1570:G1585)</f>
        <v>0</v>
      </c>
      <c r="H1586" s="140">
        <f>SUM(H1570:H1585)</f>
        <v>1337.31</v>
      </c>
      <c r="I1586" s="140">
        <f>SUM(I1570:I1585)</f>
        <v>1571.2600000000002</v>
      </c>
      <c r="J1586" s="140">
        <f>SUM(J1570:J1585)</f>
        <v>0</v>
      </c>
      <c r="K1586" s="38"/>
    </row>
    <row r="1587" spans="1:11" s="51" customFormat="1" ht="81" customHeight="1" x14ac:dyDescent="0.25">
      <c r="A1587" s="22">
        <v>1291</v>
      </c>
      <c r="B1587" s="197" t="s">
        <v>1875</v>
      </c>
      <c r="C1587" s="25" t="s">
        <v>1929</v>
      </c>
      <c r="D1587" s="189" t="s">
        <v>1877</v>
      </c>
      <c r="E1587" s="16" t="s">
        <v>12</v>
      </c>
      <c r="F1587" s="69">
        <f>ROUND((88753.09)/1000,2)</f>
        <v>88.75</v>
      </c>
      <c r="G1587" s="69">
        <v>0</v>
      </c>
      <c r="H1587" s="69">
        <v>0</v>
      </c>
      <c r="I1587" s="69">
        <f>ROUND((88753.09)/1000,2)</f>
        <v>88.75</v>
      </c>
      <c r="J1587" s="69">
        <v>0</v>
      </c>
      <c r="K1587" s="77">
        <v>45383</v>
      </c>
    </row>
    <row r="1588" spans="1:11" s="51" customFormat="1" ht="55.2" customHeight="1" x14ac:dyDescent="0.25">
      <c r="A1588" s="22">
        <v>1292</v>
      </c>
      <c r="B1588" s="231"/>
      <c r="C1588" s="25" t="s">
        <v>1930</v>
      </c>
      <c r="D1588" s="189" t="s">
        <v>1879</v>
      </c>
      <c r="E1588" s="16" t="s">
        <v>12</v>
      </c>
      <c r="F1588" s="69">
        <f>ROUND((103000)/1000,2)</f>
        <v>103</v>
      </c>
      <c r="G1588" s="69">
        <v>0</v>
      </c>
      <c r="H1588" s="69">
        <v>0</v>
      </c>
      <c r="I1588" s="69">
        <f>ROUND((103000)/1000,2)</f>
        <v>103</v>
      </c>
      <c r="J1588" s="69">
        <v>0</v>
      </c>
      <c r="K1588" s="77">
        <v>45383</v>
      </c>
    </row>
    <row r="1589" spans="1:11" s="51" customFormat="1" ht="66" customHeight="1" x14ac:dyDescent="0.25">
      <c r="A1589" s="22">
        <v>1293</v>
      </c>
      <c r="B1589" s="231"/>
      <c r="C1589" s="25" t="s">
        <v>1931</v>
      </c>
      <c r="D1589" s="189" t="s">
        <v>1881</v>
      </c>
      <c r="E1589" s="16" t="s">
        <v>12</v>
      </c>
      <c r="F1589" s="69">
        <f>ROUND((129733.33)/1000,2)</f>
        <v>129.72999999999999</v>
      </c>
      <c r="G1589" s="69">
        <v>0</v>
      </c>
      <c r="H1589" s="69">
        <v>0</v>
      </c>
      <c r="I1589" s="69">
        <f>ROUND((129733.33)/1000,2)</f>
        <v>129.72999999999999</v>
      </c>
      <c r="J1589" s="69">
        <v>0</v>
      </c>
      <c r="K1589" s="77">
        <v>45383</v>
      </c>
    </row>
    <row r="1590" spans="1:11" s="51" customFormat="1" ht="40.799999999999997" customHeight="1" x14ac:dyDescent="0.25">
      <c r="A1590" s="22">
        <v>1294</v>
      </c>
      <c r="B1590" s="231"/>
      <c r="C1590" s="25" t="s">
        <v>1932</v>
      </c>
      <c r="D1590" s="189" t="s">
        <v>1883</v>
      </c>
      <c r="E1590" s="16" t="s">
        <v>12</v>
      </c>
      <c r="F1590" s="69">
        <f>ROUND((102148.33)/1000,2)</f>
        <v>102.15</v>
      </c>
      <c r="G1590" s="69">
        <v>0</v>
      </c>
      <c r="H1590" s="69">
        <v>0</v>
      </c>
      <c r="I1590" s="69">
        <f>ROUND((102148.33)/1000,2)</f>
        <v>102.15</v>
      </c>
      <c r="J1590" s="69">
        <v>0</v>
      </c>
      <c r="K1590" s="77">
        <v>45383</v>
      </c>
    </row>
    <row r="1591" spans="1:11" s="51" customFormat="1" ht="93.6" customHeight="1" x14ac:dyDescent="0.25">
      <c r="A1591" s="22">
        <v>1295</v>
      </c>
      <c r="B1591" s="231"/>
      <c r="C1591" s="25" t="s">
        <v>1933</v>
      </c>
      <c r="D1591" s="189" t="s">
        <v>1885</v>
      </c>
      <c r="E1591" s="16" t="s">
        <v>12</v>
      </c>
      <c r="F1591" s="69">
        <f>ROUND((299997.52)/1000,2)</f>
        <v>300</v>
      </c>
      <c r="G1591" s="69">
        <v>0</v>
      </c>
      <c r="H1591" s="69">
        <v>0</v>
      </c>
      <c r="I1591" s="69">
        <f>ROUND((299997.52)/1000,2)</f>
        <v>300</v>
      </c>
      <c r="J1591" s="69">
        <v>0</v>
      </c>
      <c r="K1591" s="77">
        <v>45413</v>
      </c>
    </row>
    <row r="1592" spans="1:11" s="51" customFormat="1" ht="42.6" customHeight="1" x14ac:dyDescent="0.25">
      <c r="A1592" s="22">
        <v>1296</v>
      </c>
      <c r="B1592" s="231"/>
      <c r="C1592" s="25" t="s">
        <v>1934</v>
      </c>
      <c r="D1592" s="189" t="s">
        <v>1889</v>
      </c>
      <c r="E1592" s="16" t="s">
        <v>12</v>
      </c>
      <c r="F1592" s="69">
        <f>ROUND((70198)/1000,2)</f>
        <v>70.2</v>
      </c>
      <c r="G1592" s="69">
        <v>0</v>
      </c>
      <c r="H1592" s="69">
        <v>0</v>
      </c>
      <c r="I1592" s="69">
        <f>ROUND((70198)/1000,2)</f>
        <v>70.2</v>
      </c>
      <c r="J1592" s="69">
        <v>0</v>
      </c>
      <c r="K1592" s="77">
        <v>45444</v>
      </c>
    </row>
    <row r="1593" spans="1:11" s="51" customFormat="1" ht="45" customHeight="1" x14ac:dyDescent="0.25">
      <c r="A1593" s="22">
        <v>1297</v>
      </c>
      <c r="B1593" s="231"/>
      <c r="C1593" s="25" t="s">
        <v>1935</v>
      </c>
      <c r="D1593" s="189" t="s">
        <v>1891</v>
      </c>
      <c r="E1593" s="16" t="s">
        <v>12</v>
      </c>
      <c r="F1593" s="69">
        <f>ROUND((140000.02)/1000,2)</f>
        <v>140</v>
      </c>
      <c r="G1593" s="69">
        <v>0</v>
      </c>
      <c r="H1593" s="69">
        <v>0</v>
      </c>
      <c r="I1593" s="69">
        <f>ROUND((140000.02)/1000,2)</f>
        <v>140</v>
      </c>
      <c r="J1593" s="69">
        <v>0</v>
      </c>
      <c r="K1593" s="77">
        <v>45444</v>
      </c>
    </row>
    <row r="1594" spans="1:11" s="51" customFormat="1" ht="63.6" customHeight="1" x14ac:dyDescent="0.25">
      <c r="A1594" s="22">
        <v>1298</v>
      </c>
      <c r="B1594" s="231"/>
      <c r="C1594" s="25" t="s">
        <v>1936</v>
      </c>
      <c r="D1594" s="189" t="s">
        <v>1897</v>
      </c>
      <c r="E1594" s="16" t="s">
        <v>12</v>
      </c>
      <c r="F1594" s="69">
        <f>ROUND((11787.7)/1000,2)</f>
        <v>11.79</v>
      </c>
      <c r="G1594" s="69">
        <v>0</v>
      </c>
      <c r="H1594" s="69">
        <v>0</v>
      </c>
      <c r="I1594" s="69">
        <f>ROUND((11787.7)/1000,2)</f>
        <v>11.79</v>
      </c>
      <c r="J1594" s="69">
        <v>0</v>
      </c>
      <c r="K1594" s="36">
        <v>45474</v>
      </c>
    </row>
    <row r="1595" spans="1:11" s="51" customFormat="1" ht="55.2" customHeight="1" x14ac:dyDescent="0.25">
      <c r="A1595" s="22">
        <v>1299</v>
      </c>
      <c r="B1595" s="231"/>
      <c r="C1595" s="25" t="s">
        <v>1937</v>
      </c>
      <c r="D1595" s="189" t="s">
        <v>1899</v>
      </c>
      <c r="E1595" s="16" t="s">
        <v>12</v>
      </c>
      <c r="F1595" s="69">
        <f>ROUND((33312.77)/1000,2)</f>
        <v>33.31</v>
      </c>
      <c r="G1595" s="69">
        <v>0</v>
      </c>
      <c r="H1595" s="69">
        <v>0</v>
      </c>
      <c r="I1595" s="69">
        <f>ROUND((33312.77)/1000,2)</f>
        <v>33.31</v>
      </c>
      <c r="J1595" s="69">
        <v>0</v>
      </c>
      <c r="K1595" s="36">
        <v>45474</v>
      </c>
    </row>
    <row r="1596" spans="1:11" s="51" customFormat="1" ht="53.4" customHeight="1" x14ac:dyDescent="0.25">
      <c r="A1596" s="22">
        <v>1300</v>
      </c>
      <c r="B1596" s="231"/>
      <c r="C1596" s="25" t="s">
        <v>1938</v>
      </c>
      <c r="D1596" s="189" t="s">
        <v>1901</v>
      </c>
      <c r="E1596" s="16" t="s">
        <v>12</v>
      </c>
      <c r="F1596" s="69">
        <f>ROUND((35820.36)/1000,2)</f>
        <v>35.82</v>
      </c>
      <c r="G1596" s="69">
        <v>0</v>
      </c>
      <c r="H1596" s="69">
        <v>0</v>
      </c>
      <c r="I1596" s="69">
        <f>ROUND((35820.36)/1000,2)</f>
        <v>35.82</v>
      </c>
      <c r="J1596" s="69">
        <v>0</v>
      </c>
      <c r="K1596" s="36">
        <v>45474</v>
      </c>
    </row>
    <row r="1597" spans="1:11" s="51" customFormat="1" ht="42.6" customHeight="1" x14ac:dyDescent="0.25">
      <c r="A1597" s="22">
        <v>1301</v>
      </c>
      <c r="B1597" s="231"/>
      <c r="C1597" s="25" t="s">
        <v>1939</v>
      </c>
      <c r="D1597" s="189" t="s">
        <v>1903</v>
      </c>
      <c r="E1597" s="16" t="s">
        <v>12</v>
      </c>
      <c r="F1597" s="69">
        <f>ROUND((83246.39)/1000,2)</f>
        <v>83.25</v>
      </c>
      <c r="G1597" s="69">
        <v>0</v>
      </c>
      <c r="H1597" s="69">
        <v>0</v>
      </c>
      <c r="I1597" s="69">
        <f>ROUND((83246.39)/1000,2)</f>
        <v>83.25</v>
      </c>
      <c r="J1597" s="69">
        <v>0</v>
      </c>
      <c r="K1597" s="36">
        <v>45474</v>
      </c>
    </row>
    <row r="1598" spans="1:11" s="51" customFormat="1" ht="63" customHeight="1" x14ac:dyDescent="0.25">
      <c r="A1598" s="22">
        <v>1302</v>
      </c>
      <c r="B1598" s="231"/>
      <c r="C1598" s="25" t="s">
        <v>1940</v>
      </c>
      <c r="D1598" s="189" t="s">
        <v>93</v>
      </c>
      <c r="E1598" s="16" t="s">
        <v>12</v>
      </c>
      <c r="F1598" s="69">
        <f>ROUND((157719.67)/1000,2)</f>
        <v>157.72</v>
      </c>
      <c r="G1598" s="69">
        <v>0</v>
      </c>
      <c r="H1598" s="69">
        <v>0</v>
      </c>
      <c r="I1598" s="69">
        <f>ROUND((157719.67)/1000,2)</f>
        <v>157.72</v>
      </c>
      <c r="J1598" s="69">
        <v>0</v>
      </c>
      <c r="K1598" s="36">
        <v>45474</v>
      </c>
    </row>
    <row r="1599" spans="1:11" s="51" customFormat="1" ht="43.2" customHeight="1" x14ac:dyDescent="0.25">
      <c r="A1599" s="22">
        <v>1303</v>
      </c>
      <c r="B1599" s="231"/>
      <c r="C1599" s="25" t="s">
        <v>1941</v>
      </c>
      <c r="D1599" s="189" t="s">
        <v>1383</v>
      </c>
      <c r="E1599" s="16" t="s">
        <v>12</v>
      </c>
      <c r="F1599" s="69">
        <f>ROUND((81585)/1000,2)</f>
        <v>81.59</v>
      </c>
      <c r="G1599" s="69">
        <v>0</v>
      </c>
      <c r="H1599" s="69">
        <v>0</v>
      </c>
      <c r="I1599" s="69">
        <f>ROUND((81585)/1000,2)</f>
        <v>81.59</v>
      </c>
      <c r="J1599" s="69">
        <v>0</v>
      </c>
      <c r="K1599" s="36">
        <v>45474</v>
      </c>
    </row>
    <row r="1600" spans="1:11" s="51" customFormat="1" ht="28.2" customHeight="1" x14ac:dyDescent="0.25">
      <c r="A1600" s="245" t="s">
        <v>1928</v>
      </c>
      <c r="B1600" s="245"/>
      <c r="C1600" s="245"/>
      <c r="D1600" s="245"/>
      <c r="E1600" s="245"/>
      <c r="F1600" s="140">
        <f>SUM(F1587:F1599)</f>
        <v>1337.31</v>
      </c>
      <c r="G1600" s="140">
        <f>SUM(G1587:G1599)</f>
        <v>0</v>
      </c>
      <c r="H1600" s="140">
        <f>SUM(H1587:H1599)</f>
        <v>0</v>
      </c>
      <c r="I1600" s="140">
        <f>SUM(I1587:I1599)</f>
        <v>1337.31</v>
      </c>
      <c r="J1600" s="140">
        <f>SUM(J1587:J1599)</f>
        <v>0</v>
      </c>
      <c r="K1600" s="38"/>
    </row>
    <row r="1601" spans="1:11" s="51" customFormat="1" ht="93.6" customHeight="1" x14ac:dyDescent="0.25">
      <c r="A1601" s="22">
        <v>1304</v>
      </c>
      <c r="B1601" s="197" t="s">
        <v>1942</v>
      </c>
      <c r="C1601" s="25" t="s">
        <v>1943</v>
      </c>
      <c r="D1601" s="42" t="s">
        <v>1944</v>
      </c>
      <c r="E1601" s="42" t="s">
        <v>1945</v>
      </c>
      <c r="F1601" s="69">
        <f t="shared" ref="F1601:F1631" si="103">(G1601+H1601+I1601)</f>
        <v>56.599980000000002</v>
      </c>
      <c r="G1601" s="69">
        <f>56599.98/1000</f>
        <v>56.599980000000002</v>
      </c>
      <c r="H1601" s="69">
        <v>0</v>
      </c>
      <c r="I1601" s="69">
        <v>0</v>
      </c>
      <c r="J1601" s="69">
        <v>0</v>
      </c>
      <c r="K1601" s="35">
        <v>44682</v>
      </c>
    </row>
    <row r="1602" spans="1:11" s="51" customFormat="1" ht="37.799999999999997" customHeight="1" x14ac:dyDescent="0.25">
      <c r="A1602" s="22">
        <v>1305</v>
      </c>
      <c r="B1602" s="231"/>
      <c r="C1602" s="25" t="s">
        <v>1946</v>
      </c>
      <c r="D1602" s="42" t="s">
        <v>1947</v>
      </c>
      <c r="E1602" s="42" t="s">
        <v>1945</v>
      </c>
      <c r="F1602" s="69">
        <f t="shared" si="103"/>
        <v>430.08340000000004</v>
      </c>
      <c r="G1602" s="69">
        <f>430083.4/1000</f>
        <v>430.08340000000004</v>
      </c>
      <c r="H1602" s="69">
        <v>0</v>
      </c>
      <c r="I1602" s="69">
        <v>0</v>
      </c>
      <c r="J1602" s="69">
        <v>0</v>
      </c>
      <c r="K1602" s="36">
        <v>44713</v>
      </c>
    </row>
    <row r="1603" spans="1:11" s="51" customFormat="1" ht="40.200000000000003" customHeight="1" x14ac:dyDescent="0.25">
      <c r="A1603" s="22">
        <v>1306</v>
      </c>
      <c r="B1603" s="231"/>
      <c r="C1603" s="25" t="s">
        <v>1948</v>
      </c>
      <c r="D1603" s="42" t="s">
        <v>1949</v>
      </c>
      <c r="E1603" s="42" t="s">
        <v>1945</v>
      </c>
      <c r="F1603" s="69">
        <f t="shared" si="103"/>
        <v>146.21664000000001</v>
      </c>
      <c r="G1603" s="69">
        <f>146216.64/1000</f>
        <v>146.21664000000001</v>
      </c>
      <c r="H1603" s="69">
        <v>0</v>
      </c>
      <c r="I1603" s="69">
        <v>0</v>
      </c>
      <c r="J1603" s="69">
        <v>0</v>
      </c>
      <c r="K1603" s="36">
        <v>44713</v>
      </c>
    </row>
    <row r="1604" spans="1:11" s="51" customFormat="1" ht="52.8" customHeight="1" x14ac:dyDescent="0.25">
      <c r="A1604" s="22">
        <v>1307</v>
      </c>
      <c r="B1604" s="231"/>
      <c r="C1604" s="25" t="s">
        <v>1950</v>
      </c>
      <c r="D1604" s="42" t="s">
        <v>1951</v>
      </c>
      <c r="E1604" s="42" t="s">
        <v>1945</v>
      </c>
      <c r="F1604" s="69">
        <f t="shared" si="103"/>
        <v>682.07806000000005</v>
      </c>
      <c r="G1604" s="69">
        <f>682078.06/1000</f>
        <v>682.07806000000005</v>
      </c>
      <c r="H1604" s="69">
        <v>0</v>
      </c>
      <c r="I1604" s="69">
        <v>0</v>
      </c>
      <c r="J1604" s="69">
        <v>0</v>
      </c>
      <c r="K1604" s="36">
        <v>44713</v>
      </c>
    </row>
    <row r="1605" spans="1:11" s="51" customFormat="1" ht="36.6" customHeight="1" x14ac:dyDescent="0.25">
      <c r="A1605" s="22">
        <v>1308</v>
      </c>
      <c r="B1605" s="231"/>
      <c r="C1605" s="25" t="s">
        <v>1952</v>
      </c>
      <c r="D1605" s="42" t="s">
        <v>286</v>
      </c>
      <c r="E1605" s="42" t="s">
        <v>1945</v>
      </c>
      <c r="F1605" s="69">
        <f t="shared" si="103"/>
        <v>506.70898</v>
      </c>
      <c r="G1605" s="69">
        <f>506708.98/1000</f>
        <v>506.70898</v>
      </c>
      <c r="H1605" s="69">
        <v>0</v>
      </c>
      <c r="I1605" s="69">
        <v>0</v>
      </c>
      <c r="J1605" s="69">
        <v>0</v>
      </c>
      <c r="K1605" s="37">
        <v>44743</v>
      </c>
    </row>
    <row r="1606" spans="1:11" s="51" customFormat="1" ht="26.4" x14ac:dyDescent="0.25">
      <c r="A1606" s="22">
        <v>1309</v>
      </c>
      <c r="B1606" s="231"/>
      <c r="C1606" s="25" t="s">
        <v>1953</v>
      </c>
      <c r="D1606" s="42" t="s">
        <v>1954</v>
      </c>
      <c r="E1606" s="42" t="s">
        <v>1945</v>
      </c>
      <c r="F1606" s="69">
        <f t="shared" si="103"/>
        <v>250.94308999999998</v>
      </c>
      <c r="G1606" s="69">
        <f>250943.09/1000</f>
        <v>250.94308999999998</v>
      </c>
      <c r="H1606" s="69">
        <v>0</v>
      </c>
      <c r="I1606" s="69">
        <v>0</v>
      </c>
      <c r="J1606" s="69">
        <v>0</v>
      </c>
      <c r="K1606" s="37">
        <v>44743</v>
      </c>
    </row>
    <row r="1607" spans="1:11" s="51" customFormat="1" ht="34.799999999999997" customHeight="1" x14ac:dyDescent="0.25">
      <c r="A1607" s="22">
        <v>1310</v>
      </c>
      <c r="B1607" s="231"/>
      <c r="C1607" s="25" t="s">
        <v>1955</v>
      </c>
      <c r="D1607" s="42" t="s">
        <v>1956</v>
      </c>
      <c r="E1607" s="42" t="s">
        <v>1945</v>
      </c>
      <c r="F1607" s="69">
        <f t="shared" si="103"/>
        <v>276.49955999999997</v>
      </c>
      <c r="G1607" s="69">
        <f>276499.56/1000</f>
        <v>276.49955999999997</v>
      </c>
      <c r="H1607" s="69">
        <v>0</v>
      </c>
      <c r="I1607" s="69">
        <v>0</v>
      </c>
      <c r="J1607" s="69">
        <v>0</v>
      </c>
      <c r="K1607" s="36">
        <v>44713</v>
      </c>
    </row>
    <row r="1608" spans="1:11" s="51" customFormat="1" ht="39.6" customHeight="1" x14ac:dyDescent="0.25">
      <c r="A1608" s="22">
        <v>1311</v>
      </c>
      <c r="B1608" s="231"/>
      <c r="C1608" s="25" t="s">
        <v>1957</v>
      </c>
      <c r="D1608" s="42" t="s">
        <v>1958</v>
      </c>
      <c r="E1608" s="42" t="s">
        <v>1945</v>
      </c>
      <c r="F1608" s="69">
        <f t="shared" si="103"/>
        <v>181.38715999999999</v>
      </c>
      <c r="G1608" s="69">
        <f>181387.16/1000</f>
        <v>181.38715999999999</v>
      </c>
      <c r="H1608" s="69">
        <v>0</v>
      </c>
      <c r="I1608" s="69">
        <v>0</v>
      </c>
      <c r="J1608" s="69">
        <v>0</v>
      </c>
      <c r="K1608" s="36">
        <v>44652</v>
      </c>
    </row>
    <row r="1609" spans="1:11" s="51" customFormat="1" ht="39.6" customHeight="1" x14ac:dyDescent="0.25">
      <c r="A1609" s="22">
        <v>1312</v>
      </c>
      <c r="B1609" s="231"/>
      <c r="C1609" s="25" t="s">
        <v>1959</v>
      </c>
      <c r="D1609" s="42" t="s">
        <v>1960</v>
      </c>
      <c r="E1609" s="42" t="s">
        <v>1945</v>
      </c>
      <c r="F1609" s="69">
        <f t="shared" si="103"/>
        <v>170.91679999999999</v>
      </c>
      <c r="G1609" s="69">
        <f>170916.8/1000</f>
        <v>170.91679999999999</v>
      </c>
      <c r="H1609" s="69">
        <v>0</v>
      </c>
      <c r="I1609" s="69">
        <v>0</v>
      </c>
      <c r="J1609" s="69">
        <v>0</v>
      </c>
      <c r="K1609" s="35">
        <v>44682</v>
      </c>
    </row>
    <row r="1610" spans="1:11" s="51" customFormat="1" ht="54" customHeight="1" x14ac:dyDescent="0.25">
      <c r="A1610" s="22">
        <v>1313</v>
      </c>
      <c r="B1610" s="231"/>
      <c r="C1610" s="25" t="s">
        <v>1961</v>
      </c>
      <c r="D1610" s="42" t="s">
        <v>1962</v>
      </c>
      <c r="E1610" s="42" t="s">
        <v>1945</v>
      </c>
      <c r="F1610" s="69">
        <f t="shared" si="103"/>
        <v>68.230630000000005</v>
      </c>
      <c r="G1610" s="69">
        <f>68230.63/1000</f>
        <v>68.230630000000005</v>
      </c>
      <c r="H1610" s="69">
        <v>0</v>
      </c>
      <c r="I1610" s="69">
        <v>0</v>
      </c>
      <c r="J1610" s="69">
        <v>0</v>
      </c>
      <c r="K1610" s="37">
        <v>44774</v>
      </c>
    </row>
    <row r="1611" spans="1:11" s="51" customFormat="1" ht="79.8" customHeight="1" x14ac:dyDescent="0.25">
      <c r="A1611" s="22">
        <v>1314</v>
      </c>
      <c r="B1611" s="231"/>
      <c r="C1611" s="25" t="s">
        <v>1963</v>
      </c>
      <c r="D1611" s="42" t="s">
        <v>96</v>
      </c>
      <c r="E1611" s="42" t="s">
        <v>1945</v>
      </c>
      <c r="F1611" s="69">
        <f t="shared" si="103"/>
        <v>52.46143</v>
      </c>
      <c r="G1611" s="69">
        <f>52461.43/1000</f>
        <v>52.46143</v>
      </c>
      <c r="H1611" s="69">
        <v>0</v>
      </c>
      <c r="I1611" s="69">
        <v>0</v>
      </c>
      <c r="J1611" s="69">
        <v>0</v>
      </c>
      <c r="K1611" s="37">
        <v>44774</v>
      </c>
    </row>
    <row r="1612" spans="1:11" s="51" customFormat="1" ht="45.6" customHeight="1" x14ac:dyDescent="0.25">
      <c r="A1612" s="22">
        <v>1315</v>
      </c>
      <c r="B1612" s="231"/>
      <c r="C1612" s="25" t="s">
        <v>1964</v>
      </c>
      <c r="D1612" s="42" t="s">
        <v>1965</v>
      </c>
      <c r="E1612" s="42" t="s">
        <v>1945</v>
      </c>
      <c r="F1612" s="69">
        <f t="shared" si="103"/>
        <v>294.55367000000001</v>
      </c>
      <c r="G1612" s="69">
        <f>294553.67/1000</f>
        <v>294.55367000000001</v>
      </c>
      <c r="H1612" s="69">
        <v>0</v>
      </c>
      <c r="I1612" s="69">
        <v>0</v>
      </c>
      <c r="J1612" s="69">
        <v>0</v>
      </c>
      <c r="K1612" s="37">
        <v>44774</v>
      </c>
    </row>
    <row r="1613" spans="1:11" s="51" customFormat="1" ht="58.2" customHeight="1" x14ac:dyDescent="0.25">
      <c r="A1613" s="22">
        <v>1316</v>
      </c>
      <c r="B1613" s="231"/>
      <c r="C1613" s="25" t="s">
        <v>1966</v>
      </c>
      <c r="D1613" s="42" t="s">
        <v>1967</v>
      </c>
      <c r="E1613" s="42" t="s">
        <v>1945</v>
      </c>
      <c r="F1613" s="69">
        <f t="shared" si="103"/>
        <v>150</v>
      </c>
      <c r="G1613" s="69">
        <f>150000/1000</f>
        <v>150</v>
      </c>
      <c r="H1613" s="69">
        <v>0</v>
      </c>
      <c r="I1613" s="69">
        <v>0</v>
      </c>
      <c r="J1613" s="69">
        <v>0</v>
      </c>
      <c r="K1613" s="37">
        <v>44774</v>
      </c>
    </row>
    <row r="1614" spans="1:11" s="51" customFormat="1" ht="37.200000000000003" customHeight="1" x14ac:dyDescent="0.25">
      <c r="A1614" s="22">
        <v>1317</v>
      </c>
      <c r="B1614" s="231"/>
      <c r="C1614" s="25" t="s">
        <v>1968</v>
      </c>
      <c r="D1614" s="42" t="s">
        <v>104</v>
      </c>
      <c r="E1614" s="42" t="s">
        <v>1945</v>
      </c>
      <c r="F1614" s="69">
        <f t="shared" si="103"/>
        <v>262.61</v>
      </c>
      <c r="G1614" s="69">
        <f>262610/1000</f>
        <v>262.61</v>
      </c>
      <c r="H1614" s="69">
        <v>0</v>
      </c>
      <c r="I1614" s="69">
        <v>0</v>
      </c>
      <c r="J1614" s="69">
        <v>0</v>
      </c>
      <c r="K1614" s="37">
        <v>44743</v>
      </c>
    </row>
    <row r="1615" spans="1:11" s="51" customFormat="1" ht="54" customHeight="1" x14ac:dyDescent="0.25">
      <c r="A1615" s="22">
        <v>1318</v>
      </c>
      <c r="B1615" s="231"/>
      <c r="C1615" s="25" t="s">
        <v>1969</v>
      </c>
      <c r="D1615" s="42" t="s">
        <v>1970</v>
      </c>
      <c r="E1615" s="42" t="s">
        <v>1945</v>
      </c>
      <c r="F1615" s="69">
        <f t="shared" si="103"/>
        <v>255.82499999999999</v>
      </c>
      <c r="G1615" s="69">
        <f>255825/1000</f>
        <v>255.82499999999999</v>
      </c>
      <c r="H1615" s="69">
        <v>0</v>
      </c>
      <c r="I1615" s="69">
        <v>0</v>
      </c>
      <c r="J1615" s="69">
        <v>0</v>
      </c>
      <c r="K1615" s="37">
        <v>44835</v>
      </c>
    </row>
    <row r="1616" spans="1:11" s="51" customFormat="1" ht="26.4" x14ac:dyDescent="0.25">
      <c r="A1616" s="22">
        <v>1319</v>
      </c>
      <c r="B1616" s="231"/>
      <c r="C1616" s="25" t="s">
        <v>1971</v>
      </c>
      <c r="D1616" s="42" t="s">
        <v>1972</v>
      </c>
      <c r="E1616" s="42" t="s">
        <v>1945</v>
      </c>
      <c r="F1616" s="69">
        <f t="shared" si="103"/>
        <v>325.75</v>
      </c>
      <c r="G1616" s="69">
        <f>325750/1000</f>
        <v>325.75</v>
      </c>
      <c r="H1616" s="69">
        <v>0</v>
      </c>
      <c r="I1616" s="69">
        <v>0</v>
      </c>
      <c r="J1616" s="69">
        <v>0</v>
      </c>
      <c r="K1616" s="36">
        <v>44713</v>
      </c>
    </row>
    <row r="1617" spans="1:11" s="51" customFormat="1" ht="39.6" customHeight="1" x14ac:dyDescent="0.25">
      <c r="A1617" s="22">
        <v>1320</v>
      </c>
      <c r="B1617" s="231"/>
      <c r="C1617" s="25" t="s">
        <v>1973</v>
      </c>
      <c r="D1617" s="42" t="s">
        <v>1974</v>
      </c>
      <c r="E1617" s="42" t="s">
        <v>1945</v>
      </c>
      <c r="F1617" s="69">
        <f t="shared" si="103"/>
        <v>280</v>
      </c>
      <c r="G1617" s="69">
        <f>280000/1000</f>
        <v>280</v>
      </c>
      <c r="H1617" s="69">
        <v>0</v>
      </c>
      <c r="I1617" s="69">
        <v>0</v>
      </c>
      <c r="J1617" s="69">
        <v>0</v>
      </c>
      <c r="K1617" s="37">
        <v>44774</v>
      </c>
    </row>
    <row r="1618" spans="1:11" s="51" customFormat="1" ht="39" customHeight="1" x14ac:dyDescent="0.25">
      <c r="A1618" s="22">
        <v>1321</v>
      </c>
      <c r="B1618" s="231"/>
      <c r="C1618" s="25" t="s">
        <v>1975</v>
      </c>
      <c r="D1618" s="42" t="s">
        <v>1976</v>
      </c>
      <c r="E1618" s="42" t="s">
        <v>1945</v>
      </c>
      <c r="F1618" s="69">
        <f t="shared" si="103"/>
        <v>353.1</v>
      </c>
      <c r="G1618" s="69">
        <f>353100/1000</f>
        <v>353.1</v>
      </c>
      <c r="H1618" s="69">
        <v>0</v>
      </c>
      <c r="I1618" s="69">
        <v>0</v>
      </c>
      <c r="J1618" s="69">
        <v>0</v>
      </c>
      <c r="K1618" s="37">
        <v>44774</v>
      </c>
    </row>
    <row r="1619" spans="1:11" s="51" customFormat="1" ht="52.2" customHeight="1" x14ac:dyDescent="0.25">
      <c r="A1619" s="22">
        <v>1322</v>
      </c>
      <c r="B1619" s="231"/>
      <c r="C1619" s="25" t="s">
        <v>1977</v>
      </c>
      <c r="D1619" s="42" t="s">
        <v>1978</v>
      </c>
      <c r="E1619" s="42" t="s">
        <v>1945</v>
      </c>
      <c r="F1619" s="69">
        <f t="shared" si="103"/>
        <v>442.55799999999999</v>
      </c>
      <c r="G1619" s="69">
        <f>442558/1000</f>
        <v>442.55799999999999</v>
      </c>
      <c r="H1619" s="69">
        <v>0</v>
      </c>
      <c r="I1619" s="69">
        <v>0</v>
      </c>
      <c r="J1619" s="69">
        <v>0</v>
      </c>
      <c r="K1619" s="37">
        <v>44774</v>
      </c>
    </row>
    <row r="1620" spans="1:11" s="51" customFormat="1" ht="52.2" customHeight="1" x14ac:dyDescent="0.25">
      <c r="A1620" s="22">
        <v>1323</v>
      </c>
      <c r="B1620" s="231"/>
      <c r="C1620" s="25" t="s">
        <v>1979</v>
      </c>
      <c r="D1620" s="42" t="s">
        <v>1980</v>
      </c>
      <c r="E1620" s="42" t="s">
        <v>1945</v>
      </c>
      <c r="F1620" s="69">
        <f t="shared" si="103"/>
        <v>434.48609999999996</v>
      </c>
      <c r="G1620" s="69">
        <f>434486.1/1000</f>
        <v>434.48609999999996</v>
      </c>
      <c r="H1620" s="69">
        <v>0</v>
      </c>
      <c r="I1620" s="69">
        <v>0</v>
      </c>
      <c r="J1620" s="69">
        <v>0</v>
      </c>
      <c r="K1620" s="35">
        <v>44682</v>
      </c>
    </row>
    <row r="1621" spans="1:11" s="51" customFormat="1" ht="51" customHeight="1" x14ac:dyDescent="0.25">
      <c r="A1621" s="22">
        <v>1324</v>
      </c>
      <c r="B1621" s="231"/>
      <c r="C1621" s="25" t="s">
        <v>1981</v>
      </c>
      <c r="D1621" s="42" t="s">
        <v>1982</v>
      </c>
      <c r="E1621" s="42" t="s">
        <v>1945</v>
      </c>
      <c r="F1621" s="69">
        <f t="shared" si="103"/>
        <v>352</v>
      </c>
      <c r="G1621" s="69">
        <f>352000/1000</f>
        <v>352</v>
      </c>
      <c r="H1621" s="69">
        <v>0</v>
      </c>
      <c r="I1621" s="69">
        <v>0</v>
      </c>
      <c r="J1621" s="69">
        <v>0</v>
      </c>
      <c r="K1621" s="35">
        <v>44682</v>
      </c>
    </row>
    <row r="1622" spans="1:11" s="51" customFormat="1" ht="39.6" x14ac:dyDescent="0.25">
      <c r="A1622" s="22">
        <v>1325</v>
      </c>
      <c r="B1622" s="231"/>
      <c r="C1622" s="25" t="s">
        <v>1983</v>
      </c>
      <c r="D1622" s="42" t="s">
        <v>1984</v>
      </c>
      <c r="E1622" s="42" t="s">
        <v>1945</v>
      </c>
      <c r="F1622" s="69">
        <f t="shared" si="103"/>
        <v>555.20000000000005</v>
      </c>
      <c r="G1622" s="69">
        <f>555200/1000</f>
        <v>555.20000000000005</v>
      </c>
      <c r="H1622" s="69">
        <v>0</v>
      </c>
      <c r="I1622" s="69">
        <v>0</v>
      </c>
      <c r="J1622" s="69">
        <v>0</v>
      </c>
      <c r="K1622" s="37">
        <v>44743</v>
      </c>
    </row>
    <row r="1623" spans="1:11" s="51" customFormat="1" ht="35.4" customHeight="1" x14ac:dyDescent="0.25">
      <c r="A1623" s="22">
        <v>1326</v>
      </c>
      <c r="B1623" s="231"/>
      <c r="C1623" s="25" t="s">
        <v>1985</v>
      </c>
      <c r="D1623" s="42" t="s">
        <v>1986</v>
      </c>
      <c r="E1623" s="42" t="s">
        <v>1945</v>
      </c>
      <c r="F1623" s="69">
        <f t="shared" si="103"/>
        <v>68.56026</v>
      </c>
      <c r="G1623" s="69">
        <f>68560.26/1000</f>
        <v>68.56026</v>
      </c>
      <c r="H1623" s="69">
        <v>0</v>
      </c>
      <c r="I1623" s="69">
        <v>0</v>
      </c>
      <c r="J1623" s="69">
        <v>0</v>
      </c>
      <c r="K1623" s="37">
        <v>44774</v>
      </c>
    </row>
    <row r="1624" spans="1:11" s="51" customFormat="1" ht="26.4" x14ac:dyDescent="0.25">
      <c r="A1624" s="22">
        <v>1327</v>
      </c>
      <c r="B1624" s="231"/>
      <c r="C1624" s="25" t="s">
        <v>1987</v>
      </c>
      <c r="D1624" s="42" t="s">
        <v>1988</v>
      </c>
      <c r="E1624" s="42" t="s">
        <v>1945</v>
      </c>
      <c r="F1624" s="69">
        <f t="shared" si="103"/>
        <v>174.73463000000001</v>
      </c>
      <c r="G1624" s="69">
        <f>174734.63/1000</f>
        <v>174.73463000000001</v>
      </c>
      <c r="H1624" s="69">
        <v>0</v>
      </c>
      <c r="I1624" s="69">
        <v>0</v>
      </c>
      <c r="J1624" s="69">
        <v>0</v>
      </c>
      <c r="K1624" s="36">
        <v>44805</v>
      </c>
    </row>
    <row r="1625" spans="1:11" s="51" customFormat="1" ht="52.8" customHeight="1" x14ac:dyDescent="0.25">
      <c r="A1625" s="22">
        <v>1328</v>
      </c>
      <c r="B1625" s="231"/>
      <c r="C1625" s="25" t="s">
        <v>1989</v>
      </c>
      <c r="D1625" s="42" t="s">
        <v>1990</v>
      </c>
      <c r="E1625" s="42" t="s">
        <v>1945</v>
      </c>
      <c r="F1625" s="69">
        <f t="shared" si="103"/>
        <v>594.20663999999999</v>
      </c>
      <c r="G1625" s="69">
        <f>594206.64/1000</f>
        <v>594.20663999999999</v>
      </c>
      <c r="H1625" s="69">
        <v>0</v>
      </c>
      <c r="I1625" s="69">
        <v>0</v>
      </c>
      <c r="J1625" s="69">
        <v>0</v>
      </c>
      <c r="K1625" s="36">
        <v>44621</v>
      </c>
    </row>
    <row r="1626" spans="1:11" s="51" customFormat="1" ht="37.799999999999997" customHeight="1" x14ac:dyDescent="0.25">
      <c r="A1626" s="22">
        <v>1329</v>
      </c>
      <c r="B1626" s="231"/>
      <c r="C1626" s="25" t="s">
        <v>1991</v>
      </c>
      <c r="D1626" s="42" t="s">
        <v>1992</v>
      </c>
      <c r="E1626" s="42" t="s">
        <v>1945</v>
      </c>
      <c r="F1626" s="69">
        <f t="shared" si="103"/>
        <v>73.8</v>
      </c>
      <c r="G1626" s="69">
        <f>73800/1000</f>
        <v>73.8</v>
      </c>
      <c r="H1626" s="69">
        <v>0</v>
      </c>
      <c r="I1626" s="69">
        <v>0</v>
      </c>
      <c r="J1626" s="69">
        <v>0</v>
      </c>
      <c r="K1626" s="36">
        <v>44621</v>
      </c>
    </row>
    <row r="1627" spans="1:11" s="51" customFormat="1" ht="34.799999999999997" customHeight="1" x14ac:dyDescent="0.25">
      <c r="A1627" s="22">
        <v>1330</v>
      </c>
      <c r="B1627" s="231"/>
      <c r="C1627" s="25" t="s">
        <v>1993</v>
      </c>
      <c r="D1627" s="42" t="s">
        <v>1994</v>
      </c>
      <c r="E1627" s="42" t="s">
        <v>1945</v>
      </c>
      <c r="F1627" s="69">
        <f t="shared" si="103"/>
        <v>21.846150000000002</v>
      </c>
      <c r="G1627" s="69">
        <f>21846.15/1000</f>
        <v>21.846150000000002</v>
      </c>
      <c r="H1627" s="69">
        <v>0</v>
      </c>
      <c r="I1627" s="69">
        <v>0</v>
      </c>
      <c r="J1627" s="69">
        <v>0</v>
      </c>
      <c r="K1627" s="36">
        <v>44621</v>
      </c>
    </row>
    <row r="1628" spans="1:11" s="51" customFormat="1" ht="54" customHeight="1" x14ac:dyDescent="0.25">
      <c r="A1628" s="22">
        <v>1331</v>
      </c>
      <c r="B1628" s="231"/>
      <c r="C1628" s="25" t="s">
        <v>1995</v>
      </c>
      <c r="D1628" s="42" t="s">
        <v>1996</v>
      </c>
      <c r="E1628" s="42" t="s">
        <v>1945</v>
      </c>
      <c r="F1628" s="69">
        <f t="shared" si="103"/>
        <v>193.404</v>
      </c>
      <c r="G1628" s="69">
        <f>193404/1000</f>
        <v>193.404</v>
      </c>
      <c r="H1628" s="69">
        <v>0</v>
      </c>
      <c r="I1628" s="69">
        <v>0</v>
      </c>
      <c r="J1628" s="69">
        <v>0</v>
      </c>
      <c r="K1628" s="36">
        <v>44621</v>
      </c>
    </row>
    <row r="1629" spans="1:11" s="51" customFormat="1" ht="65.400000000000006" customHeight="1" x14ac:dyDescent="0.25">
      <c r="A1629" s="22">
        <v>1332</v>
      </c>
      <c r="B1629" s="231"/>
      <c r="C1629" s="25" t="s">
        <v>1997</v>
      </c>
      <c r="D1629" s="42" t="s">
        <v>1998</v>
      </c>
      <c r="E1629" s="42" t="s">
        <v>1945</v>
      </c>
      <c r="F1629" s="69">
        <f t="shared" si="103"/>
        <v>110</v>
      </c>
      <c r="G1629" s="69">
        <f>110000/1000</f>
        <v>110</v>
      </c>
      <c r="H1629" s="69">
        <v>0</v>
      </c>
      <c r="I1629" s="69">
        <v>0</v>
      </c>
      <c r="J1629" s="69">
        <v>0</v>
      </c>
      <c r="K1629" s="36">
        <v>44621</v>
      </c>
    </row>
    <row r="1630" spans="1:11" s="51" customFormat="1" ht="60" customHeight="1" x14ac:dyDescent="0.25">
      <c r="A1630" s="22">
        <v>1333</v>
      </c>
      <c r="B1630" s="231"/>
      <c r="C1630" s="25" t="s">
        <v>1999</v>
      </c>
      <c r="D1630" s="42" t="s">
        <v>2000</v>
      </c>
      <c r="E1630" s="42" t="s">
        <v>1945</v>
      </c>
      <c r="F1630" s="69">
        <f t="shared" si="103"/>
        <v>12711.13956</v>
      </c>
      <c r="G1630" s="69">
        <f>4578875/1000</f>
        <v>4578.875</v>
      </c>
      <c r="H1630" s="69">
        <f>8132264.56/1000</f>
        <v>8132.2645599999996</v>
      </c>
      <c r="I1630" s="69">
        <v>0</v>
      </c>
      <c r="J1630" s="69">
        <v>0</v>
      </c>
      <c r="K1630" s="36">
        <v>44713</v>
      </c>
    </row>
    <row r="1631" spans="1:11" s="51" customFormat="1" ht="53.4" customHeight="1" x14ac:dyDescent="0.25">
      <c r="A1631" s="22">
        <v>1334</v>
      </c>
      <c r="B1631" s="231"/>
      <c r="C1631" s="25" t="s">
        <v>2001</v>
      </c>
      <c r="D1631" s="42" t="s">
        <v>2002</v>
      </c>
      <c r="E1631" s="42" t="s">
        <v>1945</v>
      </c>
      <c r="F1631" s="69">
        <f t="shared" si="103"/>
        <v>345.59101999999996</v>
      </c>
      <c r="G1631" s="69">
        <f>115197/1000</f>
        <v>115.197</v>
      </c>
      <c r="H1631" s="69">
        <f>230394.02/1000</f>
        <v>230.39401999999998</v>
      </c>
      <c r="I1631" s="69">
        <v>0</v>
      </c>
      <c r="J1631" s="69">
        <v>0</v>
      </c>
      <c r="K1631" s="37">
        <v>44774</v>
      </c>
    </row>
    <row r="1632" spans="1:11" s="51" customFormat="1" ht="16.2" customHeight="1" x14ac:dyDescent="0.25">
      <c r="A1632" s="245" t="s">
        <v>2003</v>
      </c>
      <c r="B1632" s="245"/>
      <c r="C1632" s="245"/>
      <c r="D1632" s="245"/>
      <c r="E1632" s="245"/>
      <c r="F1632" s="140">
        <f>SUM(F1601:F1631)</f>
        <v>20821.490760000001</v>
      </c>
      <c r="G1632" s="140">
        <f t="shared" ref="G1632:J1632" si="104">SUM(G1601:G1631)</f>
        <v>12458.832180000001</v>
      </c>
      <c r="H1632" s="140">
        <f t="shared" si="104"/>
        <v>8362.6585799999993</v>
      </c>
      <c r="I1632" s="140">
        <f t="shared" si="104"/>
        <v>0</v>
      </c>
      <c r="J1632" s="140">
        <f t="shared" si="104"/>
        <v>0</v>
      </c>
      <c r="K1632" s="39"/>
    </row>
    <row r="1633" spans="1:11" s="51" customFormat="1" ht="68.400000000000006" customHeight="1" x14ac:dyDescent="0.25">
      <c r="A1633" s="22">
        <v>1335</v>
      </c>
      <c r="B1633" s="197" t="s">
        <v>1942</v>
      </c>
      <c r="C1633" s="25" t="s">
        <v>2004</v>
      </c>
      <c r="D1633" s="42" t="s">
        <v>2005</v>
      </c>
      <c r="E1633" s="42" t="s">
        <v>1945</v>
      </c>
      <c r="F1633" s="69">
        <f t="shared" ref="F1633:F1671" si="105">(G1633+H1633+I1633)</f>
        <v>1628.6241399999999</v>
      </c>
      <c r="G1633" s="69">
        <v>0</v>
      </c>
      <c r="H1633" s="69">
        <f>1476970.88/1000</f>
        <v>1476.9708799999999</v>
      </c>
      <c r="I1633" s="69">
        <f>151653.26/1000</f>
        <v>151.65326000000002</v>
      </c>
      <c r="J1633" s="69">
        <v>0</v>
      </c>
      <c r="K1633" s="37">
        <v>44835</v>
      </c>
    </row>
    <row r="1634" spans="1:11" s="51" customFormat="1" ht="52.8" customHeight="1" x14ac:dyDescent="0.25">
      <c r="A1634" s="22">
        <v>1336</v>
      </c>
      <c r="B1634" s="231"/>
      <c r="C1634" s="25" t="s">
        <v>2006</v>
      </c>
      <c r="D1634" s="42" t="s">
        <v>98</v>
      </c>
      <c r="E1634" s="42" t="s">
        <v>1945</v>
      </c>
      <c r="F1634" s="69">
        <f t="shared" si="105"/>
        <v>57.729959999999998</v>
      </c>
      <c r="G1634" s="69">
        <v>0</v>
      </c>
      <c r="H1634" s="69">
        <f>57729.96/1000</f>
        <v>57.729959999999998</v>
      </c>
      <c r="I1634" s="69">
        <v>0</v>
      </c>
      <c r="J1634" s="69">
        <v>0</v>
      </c>
      <c r="K1634" s="37">
        <v>44835</v>
      </c>
    </row>
    <row r="1635" spans="1:11" s="51" customFormat="1" ht="91.8" customHeight="1" x14ac:dyDescent="0.25">
      <c r="A1635" s="22">
        <v>1337</v>
      </c>
      <c r="B1635" s="231"/>
      <c r="C1635" s="25" t="s">
        <v>2007</v>
      </c>
      <c r="D1635" s="42" t="s">
        <v>2008</v>
      </c>
      <c r="E1635" s="42" t="s">
        <v>1945</v>
      </c>
      <c r="F1635" s="69">
        <f t="shared" si="105"/>
        <v>1045.98766</v>
      </c>
      <c r="G1635" s="69">
        <v>0</v>
      </c>
      <c r="H1635" s="69">
        <f>958822.02/1000</f>
        <v>958.82202000000007</v>
      </c>
      <c r="I1635" s="69">
        <f>87165.64/1000</f>
        <v>87.165639999999996</v>
      </c>
      <c r="J1635" s="69">
        <v>0</v>
      </c>
      <c r="K1635" s="37">
        <v>44835</v>
      </c>
    </row>
    <row r="1636" spans="1:11" s="51" customFormat="1" ht="79.2" x14ac:dyDescent="0.25">
      <c r="A1636" s="22">
        <v>1338</v>
      </c>
      <c r="B1636" s="231"/>
      <c r="C1636" s="25" t="s">
        <v>2009</v>
      </c>
      <c r="D1636" s="42" t="s">
        <v>2010</v>
      </c>
      <c r="E1636" s="42" t="s">
        <v>1945</v>
      </c>
      <c r="F1636" s="69">
        <f t="shared" si="105"/>
        <v>2184.6406999999999</v>
      </c>
      <c r="G1636" s="69">
        <v>0</v>
      </c>
      <c r="H1636" s="69">
        <f>2084640.7/1000</f>
        <v>2084.6406999999999</v>
      </c>
      <c r="I1636" s="69">
        <f>100000/1000</f>
        <v>100</v>
      </c>
      <c r="J1636" s="69">
        <v>0</v>
      </c>
      <c r="K1636" s="37">
        <v>44835</v>
      </c>
    </row>
    <row r="1637" spans="1:11" s="51" customFormat="1" ht="92.4" x14ac:dyDescent="0.25">
      <c r="A1637" s="22">
        <v>1339</v>
      </c>
      <c r="B1637" s="231"/>
      <c r="C1637" s="25" t="s">
        <v>2011</v>
      </c>
      <c r="D1637" s="42" t="s">
        <v>2012</v>
      </c>
      <c r="E1637" s="42" t="s">
        <v>2013</v>
      </c>
      <c r="F1637" s="69">
        <f t="shared" si="105"/>
        <v>2300</v>
      </c>
      <c r="G1637" s="69">
        <v>0</v>
      </c>
      <c r="H1637" s="69">
        <f>2300000/1000</f>
        <v>2300</v>
      </c>
      <c r="I1637" s="69">
        <v>0</v>
      </c>
      <c r="J1637" s="69">
        <v>0</v>
      </c>
      <c r="K1637" s="35">
        <v>44866</v>
      </c>
    </row>
    <row r="1638" spans="1:11" s="51" customFormat="1" ht="51" customHeight="1" x14ac:dyDescent="0.25">
      <c r="A1638" s="22">
        <v>1340</v>
      </c>
      <c r="B1638" s="231"/>
      <c r="C1638" s="25" t="s">
        <v>2014</v>
      </c>
      <c r="D1638" s="42" t="s">
        <v>2015</v>
      </c>
      <c r="E1638" s="42" t="s">
        <v>1945</v>
      </c>
      <c r="F1638" s="69">
        <f t="shared" si="105"/>
        <v>43.2</v>
      </c>
      <c r="G1638" s="69">
        <v>0</v>
      </c>
      <c r="H1638" s="69">
        <f>39600/1000</f>
        <v>39.6</v>
      </c>
      <c r="I1638" s="69">
        <f>3600/1000</f>
        <v>3.6</v>
      </c>
      <c r="J1638" s="69">
        <v>0</v>
      </c>
      <c r="K1638" s="37">
        <v>44835</v>
      </c>
    </row>
    <row r="1639" spans="1:11" s="51" customFormat="1" ht="49.8" customHeight="1" x14ac:dyDescent="0.25">
      <c r="A1639" s="22">
        <v>1341</v>
      </c>
      <c r="B1639" s="231"/>
      <c r="C1639" s="25" t="s">
        <v>2016</v>
      </c>
      <c r="D1639" s="42" t="s">
        <v>2017</v>
      </c>
      <c r="E1639" s="42" t="s">
        <v>1945</v>
      </c>
      <c r="F1639" s="69">
        <f t="shared" si="105"/>
        <v>357.39</v>
      </c>
      <c r="G1639" s="69">
        <v>0</v>
      </c>
      <c r="H1639" s="69">
        <f>350000/1000</f>
        <v>350</v>
      </c>
      <c r="I1639" s="69">
        <f>7390/1000</f>
        <v>7.39</v>
      </c>
      <c r="J1639" s="69">
        <v>0</v>
      </c>
      <c r="K1639" s="37">
        <v>44835</v>
      </c>
    </row>
    <row r="1640" spans="1:11" s="51" customFormat="1" ht="62.4" customHeight="1" x14ac:dyDescent="0.25">
      <c r="A1640" s="22">
        <v>1342</v>
      </c>
      <c r="B1640" s="231"/>
      <c r="C1640" s="25" t="s">
        <v>2018</v>
      </c>
      <c r="D1640" s="42" t="s">
        <v>2019</v>
      </c>
      <c r="E1640" s="42" t="s">
        <v>1945</v>
      </c>
      <c r="F1640" s="69">
        <f t="shared" si="105"/>
        <v>877.2</v>
      </c>
      <c r="G1640" s="69">
        <v>0</v>
      </c>
      <c r="H1640" s="69">
        <f>800000/1000</f>
        <v>800</v>
      </c>
      <c r="I1640" s="69">
        <f>77200/1000</f>
        <v>77.2</v>
      </c>
      <c r="J1640" s="69">
        <v>0</v>
      </c>
      <c r="K1640" s="37">
        <v>44835</v>
      </c>
    </row>
    <row r="1641" spans="1:11" s="51" customFormat="1" ht="35.4" customHeight="1" x14ac:dyDescent="0.25">
      <c r="A1641" s="22">
        <v>1343</v>
      </c>
      <c r="B1641" s="231"/>
      <c r="C1641" s="25" t="s">
        <v>2020</v>
      </c>
      <c r="D1641" s="42" t="s">
        <v>2021</v>
      </c>
      <c r="E1641" s="42" t="s">
        <v>1945</v>
      </c>
      <c r="F1641" s="69">
        <f t="shared" si="105"/>
        <v>2739.3678999999997</v>
      </c>
      <c r="G1641" s="69">
        <v>0</v>
      </c>
      <c r="H1641" s="69">
        <f>2428067.8/1000</f>
        <v>2428.0677999999998</v>
      </c>
      <c r="I1641" s="69">
        <f>311300.1/1000</f>
        <v>311.30009999999999</v>
      </c>
      <c r="J1641" s="69">
        <v>0</v>
      </c>
      <c r="K1641" s="37">
        <v>44835</v>
      </c>
    </row>
    <row r="1642" spans="1:11" s="51" customFormat="1" ht="26.4" x14ac:dyDescent="0.25">
      <c r="A1642" s="22">
        <v>1344</v>
      </c>
      <c r="B1642" s="231"/>
      <c r="C1642" s="25" t="s">
        <v>2022</v>
      </c>
      <c r="D1642" s="42" t="s">
        <v>279</v>
      </c>
      <c r="E1642" s="42" t="s">
        <v>1945</v>
      </c>
      <c r="F1642" s="69">
        <f t="shared" si="105"/>
        <v>1602.88427</v>
      </c>
      <c r="G1642" s="69">
        <v>0</v>
      </c>
      <c r="H1642" s="69">
        <f>1556818.85/1000</f>
        <v>1556.8188500000001</v>
      </c>
      <c r="I1642" s="69">
        <f>46065.42/1000</f>
        <v>46.065419999999996</v>
      </c>
      <c r="J1642" s="69">
        <v>0</v>
      </c>
      <c r="K1642" s="37">
        <v>44835</v>
      </c>
    </row>
    <row r="1643" spans="1:11" s="51" customFormat="1" ht="63.6" customHeight="1" x14ac:dyDescent="0.25">
      <c r="A1643" s="22">
        <v>1345</v>
      </c>
      <c r="B1643" s="231"/>
      <c r="C1643" s="25" t="s">
        <v>2023</v>
      </c>
      <c r="D1643" s="42" t="s">
        <v>2024</v>
      </c>
      <c r="E1643" s="42" t="s">
        <v>1945</v>
      </c>
      <c r="F1643" s="69">
        <f t="shared" si="105"/>
        <v>300</v>
      </c>
      <c r="G1643" s="69">
        <v>0</v>
      </c>
      <c r="H1643" s="69">
        <f>275000/1000</f>
        <v>275</v>
      </c>
      <c r="I1643" s="69">
        <f>25000/1000</f>
        <v>25</v>
      </c>
      <c r="J1643" s="69">
        <v>0</v>
      </c>
      <c r="K1643" s="37">
        <v>44835</v>
      </c>
    </row>
    <row r="1644" spans="1:11" s="51" customFormat="1" ht="88.2" customHeight="1" x14ac:dyDescent="0.25">
      <c r="A1644" s="22">
        <v>1346</v>
      </c>
      <c r="B1644" s="231"/>
      <c r="C1644" s="25" t="s">
        <v>2025</v>
      </c>
      <c r="D1644" s="42" t="s">
        <v>2026</v>
      </c>
      <c r="E1644" s="42" t="s">
        <v>1945</v>
      </c>
      <c r="F1644" s="69">
        <f t="shared" si="105"/>
        <v>531.50400000000002</v>
      </c>
      <c r="G1644" s="69">
        <v>0</v>
      </c>
      <c r="H1644" s="69">
        <f>487212/1000</f>
        <v>487.21199999999999</v>
      </c>
      <c r="I1644" s="69">
        <f>44292/1000</f>
        <v>44.292000000000002</v>
      </c>
      <c r="J1644" s="69">
        <v>0</v>
      </c>
      <c r="K1644" s="35">
        <v>44866</v>
      </c>
    </row>
    <row r="1645" spans="1:11" s="51" customFormat="1" ht="118.8" x14ac:dyDescent="0.25">
      <c r="A1645" s="22">
        <v>1347</v>
      </c>
      <c r="B1645" s="231"/>
      <c r="C1645" s="25" t="s">
        <v>2027</v>
      </c>
      <c r="D1645" s="42" t="s">
        <v>2028</v>
      </c>
      <c r="E1645" s="42" t="s">
        <v>1945</v>
      </c>
      <c r="F1645" s="69">
        <f t="shared" si="105"/>
        <v>739.56</v>
      </c>
      <c r="G1645" s="69">
        <v>0</v>
      </c>
      <c r="H1645" s="69">
        <f>677930/1000</f>
        <v>677.93</v>
      </c>
      <c r="I1645" s="69">
        <f>61630/1000</f>
        <v>61.63</v>
      </c>
      <c r="J1645" s="69">
        <v>0</v>
      </c>
      <c r="K1645" s="35">
        <v>44866</v>
      </c>
    </row>
    <row r="1646" spans="1:11" s="51" customFormat="1" ht="54" customHeight="1" x14ac:dyDescent="0.25">
      <c r="A1646" s="22">
        <v>1348</v>
      </c>
      <c r="B1646" s="231"/>
      <c r="C1646" s="25" t="s">
        <v>2029</v>
      </c>
      <c r="D1646" s="42" t="s">
        <v>2030</v>
      </c>
      <c r="E1646" s="42" t="s">
        <v>1945</v>
      </c>
      <c r="F1646" s="69">
        <f t="shared" si="105"/>
        <v>422.80560000000003</v>
      </c>
      <c r="G1646" s="69">
        <v>0</v>
      </c>
      <c r="H1646" s="69">
        <f>387571.8/1000</f>
        <v>387.5718</v>
      </c>
      <c r="I1646" s="69">
        <f>35233.8/1000</f>
        <v>35.233800000000002</v>
      </c>
      <c r="J1646" s="69">
        <v>0</v>
      </c>
      <c r="K1646" s="35">
        <v>44866</v>
      </c>
    </row>
    <row r="1647" spans="1:11" s="51" customFormat="1" ht="54.6" customHeight="1" x14ac:dyDescent="0.25">
      <c r="A1647" s="22">
        <v>1349</v>
      </c>
      <c r="B1647" s="231"/>
      <c r="C1647" s="25" t="s">
        <v>2031</v>
      </c>
      <c r="D1647" s="42" t="s">
        <v>2032</v>
      </c>
      <c r="E1647" s="42" t="s">
        <v>1945</v>
      </c>
      <c r="F1647" s="69">
        <f t="shared" si="105"/>
        <v>392.25839999999999</v>
      </c>
      <c r="G1647" s="69">
        <v>0</v>
      </c>
      <c r="H1647" s="69">
        <f>359570.2/1000</f>
        <v>359.5702</v>
      </c>
      <c r="I1647" s="69">
        <f>32688.2/1000</f>
        <v>32.688200000000002</v>
      </c>
      <c r="J1647" s="69">
        <v>0</v>
      </c>
      <c r="K1647" s="37">
        <v>44835</v>
      </c>
    </row>
    <row r="1648" spans="1:11" s="51" customFormat="1" ht="51.6" customHeight="1" x14ac:dyDescent="0.25">
      <c r="A1648" s="22">
        <v>1350</v>
      </c>
      <c r="B1648" s="231"/>
      <c r="C1648" s="25" t="s">
        <v>2033</v>
      </c>
      <c r="D1648" s="42" t="s">
        <v>2034</v>
      </c>
      <c r="E1648" s="42" t="s">
        <v>1945</v>
      </c>
      <c r="F1648" s="69">
        <f t="shared" si="105"/>
        <v>86.080079999999995</v>
      </c>
      <c r="G1648" s="69">
        <v>0</v>
      </c>
      <c r="H1648" s="69">
        <f>78906.74/1000</f>
        <v>78.906739999999999</v>
      </c>
      <c r="I1648" s="69">
        <f>7173.34/1000</f>
        <v>7.1733400000000005</v>
      </c>
      <c r="J1648" s="69">
        <v>0</v>
      </c>
      <c r="K1648" s="37">
        <v>44835</v>
      </c>
    </row>
    <row r="1649" spans="1:11" s="51" customFormat="1" ht="53.4" customHeight="1" x14ac:dyDescent="0.25">
      <c r="A1649" s="22">
        <v>1351</v>
      </c>
      <c r="B1649" s="231"/>
      <c r="C1649" s="25" t="s">
        <v>2035</v>
      </c>
      <c r="D1649" s="42" t="s">
        <v>2036</v>
      </c>
      <c r="E1649" s="42" t="s">
        <v>1945</v>
      </c>
      <c r="F1649" s="69">
        <f t="shared" si="105"/>
        <v>228.2</v>
      </c>
      <c r="G1649" s="69">
        <v>0</v>
      </c>
      <c r="H1649" s="69">
        <f>228200/1000</f>
        <v>228.2</v>
      </c>
      <c r="I1649" s="69">
        <v>0</v>
      </c>
      <c r="J1649" s="69">
        <v>0</v>
      </c>
      <c r="K1649" s="37">
        <v>44835</v>
      </c>
    </row>
    <row r="1650" spans="1:11" s="51" customFormat="1" ht="105.6" customHeight="1" x14ac:dyDescent="0.25">
      <c r="A1650" s="22">
        <v>1352</v>
      </c>
      <c r="B1650" s="231"/>
      <c r="C1650" s="25" t="s">
        <v>2037</v>
      </c>
      <c r="D1650" s="42" t="s">
        <v>2038</v>
      </c>
      <c r="E1650" s="42" t="s">
        <v>1945</v>
      </c>
      <c r="F1650" s="69">
        <f t="shared" si="105"/>
        <v>59.5</v>
      </c>
      <c r="G1650" s="69">
        <v>0</v>
      </c>
      <c r="H1650" s="69">
        <f>59500/1000</f>
        <v>59.5</v>
      </c>
      <c r="I1650" s="69">
        <v>0</v>
      </c>
      <c r="J1650" s="69">
        <v>0</v>
      </c>
      <c r="K1650" s="36">
        <v>44805</v>
      </c>
    </row>
    <row r="1651" spans="1:11" s="51" customFormat="1" ht="92.4" x14ac:dyDescent="0.25">
      <c r="A1651" s="22">
        <v>1353</v>
      </c>
      <c r="B1651" s="231"/>
      <c r="C1651" s="25" t="s">
        <v>2039</v>
      </c>
      <c r="D1651" s="42" t="s">
        <v>2040</v>
      </c>
      <c r="E1651" s="42" t="s">
        <v>1945</v>
      </c>
      <c r="F1651" s="69">
        <f t="shared" si="105"/>
        <v>683.28448000000003</v>
      </c>
      <c r="G1651" s="69">
        <v>0</v>
      </c>
      <c r="H1651" s="69">
        <f>626344.11/1000</f>
        <v>626.34411</v>
      </c>
      <c r="I1651" s="69">
        <f>56940.37/1000</f>
        <v>56.940370000000001</v>
      </c>
      <c r="J1651" s="69">
        <v>0</v>
      </c>
      <c r="K1651" s="36">
        <v>44805</v>
      </c>
    </row>
    <row r="1652" spans="1:11" s="51" customFormat="1" ht="78.599999999999994" customHeight="1" x14ac:dyDescent="0.25">
      <c r="A1652" s="22">
        <v>1354</v>
      </c>
      <c r="B1652" s="231"/>
      <c r="C1652" s="25" t="s">
        <v>2041</v>
      </c>
      <c r="D1652" s="42" t="s">
        <v>2042</v>
      </c>
      <c r="E1652" s="42" t="s">
        <v>1945</v>
      </c>
      <c r="F1652" s="69">
        <f t="shared" si="105"/>
        <v>858</v>
      </c>
      <c r="G1652" s="69">
        <v>0</v>
      </c>
      <c r="H1652" s="69">
        <f>786500/1000</f>
        <v>786.5</v>
      </c>
      <c r="I1652" s="69">
        <f>71500/1000</f>
        <v>71.5</v>
      </c>
      <c r="J1652" s="69">
        <v>0</v>
      </c>
      <c r="K1652" s="35">
        <v>44866</v>
      </c>
    </row>
    <row r="1653" spans="1:11" s="51" customFormat="1" ht="114" customHeight="1" x14ac:dyDescent="0.25">
      <c r="A1653" s="22">
        <v>1355</v>
      </c>
      <c r="B1653" s="231"/>
      <c r="C1653" s="25" t="s">
        <v>2043</v>
      </c>
      <c r="D1653" s="42" t="s">
        <v>2044</v>
      </c>
      <c r="E1653" s="42" t="s">
        <v>1945</v>
      </c>
      <c r="F1653" s="69">
        <f t="shared" si="105"/>
        <v>723.59843999999998</v>
      </c>
      <c r="G1653" s="69">
        <v>0</v>
      </c>
      <c r="H1653" s="69">
        <f>663298.57/1000</f>
        <v>663.29856999999993</v>
      </c>
      <c r="I1653" s="69">
        <f>60299.87/1000</f>
        <v>60.299870000000006</v>
      </c>
      <c r="J1653" s="69">
        <v>0</v>
      </c>
      <c r="K1653" s="35">
        <v>44866</v>
      </c>
    </row>
    <row r="1654" spans="1:11" s="51" customFormat="1" ht="52.8" x14ac:dyDescent="0.25">
      <c r="A1654" s="22">
        <v>1356</v>
      </c>
      <c r="B1654" s="231"/>
      <c r="C1654" s="25" t="s">
        <v>2045</v>
      </c>
      <c r="D1654" s="42" t="s">
        <v>2046</v>
      </c>
      <c r="E1654" s="42" t="s">
        <v>1945</v>
      </c>
      <c r="F1654" s="69">
        <f t="shared" si="105"/>
        <v>130.15689</v>
      </c>
      <c r="G1654" s="69">
        <v>0</v>
      </c>
      <c r="H1654" s="69">
        <f>130156.89/1000</f>
        <v>130.15689</v>
      </c>
      <c r="I1654" s="69">
        <v>0</v>
      </c>
      <c r="J1654" s="69">
        <v>0</v>
      </c>
      <c r="K1654" s="35">
        <v>44866</v>
      </c>
    </row>
    <row r="1655" spans="1:11" s="51" customFormat="1" ht="66.599999999999994" customHeight="1" x14ac:dyDescent="0.25">
      <c r="A1655" s="22">
        <v>1357</v>
      </c>
      <c r="B1655" s="231"/>
      <c r="C1655" s="25" t="s">
        <v>2047</v>
      </c>
      <c r="D1655" s="42" t="s">
        <v>2048</v>
      </c>
      <c r="E1655" s="42" t="s">
        <v>1945</v>
      </c>
      <c r="F1655" s="69">
        <f t="shared" si="105"/>
        <v>78</v>
      </c>
      <c r="G1655" s="69">
        <v>0</v>
      </c>
      <c r="H1655" s="69">
        <f>78000/1000</f>
        <v>78</v>
      </c>
      <c r="I1655" s="69">
        <v>0</v>
      </c>
      <c r="J1655" s="69">
        <v>0</v>
      </c>
      <c r="K1655" s="35">
        <v>44866</v>
      </c>
    </row>
    <row r="1656" spans="1:11" s="51" customFormat="1" ht="58.8" customHeight="1" x14ac:dyDescent="0.25">
      <c r="A1656" s="22">
        <v>1358</v>
      </c>
      <c r="B1656" s="231"/>
      <c r="C1656" s="25" t="s">
        <v>2049</v>
      </c>
      <c r="D1656" s="42" t="s">
        <v>1980</v>
      </c>
      <c r="E1656" s="42" t="s">
        <v>1945</v>
      </c>
      <c r="F1656" s="69">
        <f t="shared" si="105"/>
        <v>434.48609999999996</v>
      </c>
      <c r="G1656" s="69">
        <v>0</v>
      </c>
      <c r="H1656" s="69">
        <f>434486.1/1000</f>
        <v>434.48609999999996</v>
      </c>
      <c r="I1656" s="69">
        <v>0</v>
      </c>
      <c r="J1656" s="69">
        <v>0</v>
      </c>
      <c r="K1656" s="36">
        <v>45047</v>
      </c>
    </row>
    <row r="1657" spans="1:11" s="51" customFormat="1" ht="52.8" customHeight="1" x14ac:dyDescent="0.25">
      <c r="A1657" s="22">
        <v>1359</v>
      </c>
      <c r="B1657" s="231"/>
      <c r="C1657" s="25" t="s">
        <v>2050</v>
      </c>
      <c r="D1657" s="42" t="s">
        <v>1967</v>
      </c>
      <c r="E1657" s="42" t="s">
        <v>1945</v>
      </c>
      <c r="F1657" s="69">
        <f t="shared" si="105"/>
        <v>971.85617000000002</v>
      </c>
      <c r="G1657" s="69">
        <v>0</v>
      </c>
      <c r="H1657" s="69">
        <f>971856.17/1000</f>
        <v>971.85617000000002</v>
      </c>
      <c r="I1657" s="69">
        <v>0</v>
      </c>
      <c r="J1657" s="69">
        <v>0</v>
      </c>
      <c r="K1657" s="36">
        <v>45078</v>
      </c>
    </row>
    <row r="1658" spans="1:11" s="51" customFormat="1" ht="54" customHeight="1" x14ac:dyDescent="0.25">
      <c r="A1658" s="22">
        <v>1360</v>
      </c>
      <c r="B1658" s="231"/>
      <c r="C1658" s="25" t="s">
        <v>2051</v>
      </c>
      <c r="D1658" s="42" t="s">
        <v>1970</v>
      </c>
      <c r="E1658" s="42" t="s">
        <v>1945</v>
      </c>
      <c r="F1658" s="69">
        <f t="shared" si="105"/>
        <v>312</v>
      </c>
      <c r="G1658" s="69">
        <v>0</v>
      </c>
      <c r="H1658" s="69">
        <f>312000/1000</f>
        <v>312</v>
      </c>
      <c r="I1658" s="69">
        <v>0</v>
      </c>
      <c r="J1658" s="69">
        <v>0</v>
      </c>
      <c r="K1658" s="36">
        <v>45017</v>
      </c>
    </row>
    <row r="1659" spans="1:11" s="51" customFormat="1" ht="39.6" customHeight="1" x14ac:dyDescent="0.25">
      <c r="A1659" s="22">
        <v>1361</v>
      </c>
      <c r="B1659" s="231"/>
      <c r="C1659" s="25" t="s">
        <v>2052</v>
      </c>
      <c r="D1659" s="42" t="s">
        <v>2053</v>
      </c>
      <c r="E1659" s="42" t="s">
        <v>1945</v>
      </c>
      <c r="F1659" s="69">
        <f t="shared" si="105"/>
        <v>164.31667000000002</v>
      </c>
      <c r="G1659" s="69">
        <v>0</v>
      </c>
      <c r="H1659" s="69">
        <f>164316.67/1000</f>
        <v>164.31667000000002</v>
      </c>
      <c r="I1659" s="69">
        <v>0</v>
      </c>
      <c r="J1659" s="69">
        <v>0</v>
      </c>
      <c r="K1659" s="36">
        <v>45047</v>
      </c>
    </row>
    <row r="1660" spans="1:11" s="51" customFormat="1" ht="70.2" customHeight="1" x14ac:dyDescent="0.25">
      <c r="A1660" s="22">
        <v>1362</v>
      </c>
      <c r="B1660" s="231"/>
      <c r="C1660" s="25" t="s">
        <v>2054</v>
      </c>
      <c r="D1660" s="42" t="s">
        <v>2055</v>
      </c>
      <c r="E1660" s="42" t="s">
        <v>1945</v>
      </c>
      <c r="F1660" s="69">
        <f t="shared" si="105"/>
        <v>882.66396999999995</v>
      </c>
      <c r="G1660" s="69">
        <v>0</v>
      </c>
      <c r="H1660" s="69">
        <f>882663.97/1000</f>
        <v>882.66396999999995</v>
      </c>
      <c r="I1660" s="69">
        <v>0</v>
      </c>
      <c r="J1660" s="69">
        <v>0</v>
      </c>
      <c r="K1660" s="36">
        <v>45078</v>
      </c>
    </row>
    <row r="1661" spans="1:11" s="51" customFormat="1" ht="40.200000000000003" customHeight="1" x14ac:dyDescent="0.25">
      <c r="A1661" s="22">
        <v>1363</v>
      </c>
      <c r="B1661" s="231"/>
      <c r="C1661" s="25" t="s">
        <v>2056</v>
      </c>
      <c r="D1661" s="42" t="s">
        <v>2057</v>
      </c>
      <c r="E1661" s="42" t="s">
        <v>1945</v>
      </c>
      <c r="F1661" s="69">
        <f t="shared" si="105"/>
        <v>360.30450000000002</v>
      </c>
      <c r="G1661" s="69">
        <v>0</v>
      </c>
      <c r="H1661" s="69">
        <f>360304.5/1000</f>
        <v>360.30450000000002</v>
      </c>
      <c r="I1661" s="69">
        <v>0</v>
      </c>
      <c r="J1661" s="69">
        <v>0</v>
      </c>
      <c r="K1661" s="36">
        <v>45078</v>
      </c>
    </row>
    <row r="1662" spans="1:11" s="51" customFormat="1" ht="42.6" customHeight="1" x14ac:dyDescent="0.25">
      <c r="A1662" s="22">
        <v>1364</v>
      </c>
      <c r="B1662" s="231"/>
      <c r="C1662" s="25" t="s">
        <v>2058</v>
      </c>
      <c r="D1662" s="42" t="s">
        <v>1956</v>
      </c>
      <c r="E1662" s="42" t="s">
        <v>1945</v>
      </c>
      <c r="F1662" s="69">
        <f t="shared" si="105"/>
        <v>394.99700000000001</v>
      </c>
      <c r="G1662" s="69">
        <v>0</v>
      </c>
      <c r="H1662" s="69">
        <f>394997/1000</f>
        <v>394.99700000000001</v>
      </c>
      <c r="I1662" s="69">
        <v>0</v>
      </c>
      <c r="J1662" s="69">
        <v>0</v>
      </c>
      <c r="K1662" s="36">
        <v>45017</v>
      </c>
    </row>
    <row r="1663" spans="1:11" s="51" customFormat="1" ht="55.8" customHeight="1" x14ac:dyDescent="0.25">
      <c r="A1663" s="22">
        <v>1365</v>
      </c>
      <c r="B1663" s="231"/>
      <c r="C1663" s="25" t="s">
        <v>2059</v>
      </c>
      <c r="D1663" s="42" t="s">
        <v>2000</v>
      </c>
      <c r="E1663" s="42" t="s">
        <v>1945</v>
      </c>
      <c r="F1663" s="69">
        <f t="shared" si="105"/>
        <v>13601.25338</v>
      </c>
      <c r="G1663" s="69">
        <v>0</v>
      </c>
      <c r="H1663" s="69">
        <f>5468988.82/1000</f>
        <v>5468.9888200000005</v>
      </c>
      <c r="I1663" s="69">
        <f>8132264.56/1000</f>
        <v>8132.2645599999996</v>
      </c>
      <c r="J1663" s="69">
        <v>0</v>
      </c>
      <c r="K1663" s="36">
        <v>45078</v>
      </c>
    </row>
    <row r="1664" spans="1:11" s="51" customFormat="1" ht="34.799999999999997" customHeight="1" x14ac:dyDescent="0.25">
      <c r="A1664" s="22">
        <v>1366</v>
      </c>
      <c r="B1664" s="231"/>
      <c r="C1664" s="25" t="s">
        <v>2060</v>
      </c>
      <c r="D1664" s="42" t="s">
        <v>1972</v>
      </c>
      <c r="E1664" s="42" t="s">
        <v>1945</v>
      </c>
      <c r="F1664" s="69">
        <f t="shared" si="105"/>
        <v>475.75076000000001</v>
      </c>
      <c r="G1664" s="69">
        <v>0</v>
      </c>
      <c r="H1664" s="69">
        <f>475750.76/1000</f>
        <v>475.75076000000001</v>
      </c>
      <c r="I1664" s="69">
        <v>0</v>
      </c>
      <c r="J1664" s="69">
        <v>0</v>
      </c>
      <c r="K1664" s="37">
        <v>45108</v>
      </c>
    </row>
    <row r="1665" spans="1:11" s="51" customFormat="1" ht="37.200000000000003" customHeight="1" x14ac:dyDescent="0.25">
      <c r="A1665" s="22">
        <v>1367</v>
      </c>
      <c r="B1665" s="231"/>
      <c r="C1665" s="25" t="s">
        <v>2061</v>
      </c>
      <c r="D1665" s="42" t="s">
        <v>2062</v>
      </c>
      <c r="E1665" s="42" t="s">
        <v>1945</v>
      </c>
      <c r="F1665" s="69">
        <f t="shared" si="105"/>
        <v>170.91679999999999</v>
      </c>
      <c r="G1665" s="69">
        <v>0</v>
      </c>
      <c r="H1665" s="69">
        <f>170916.8/1000</f>
        <v>170.91679999999999</v>
      </c>
      <c r="I1665" s="69">
        <v>0</v>
      </c>
      <c r="J1665" s="69">
        <v>0</v>
      </c>
      <c r="K1665" s="36">
        <v>45047</v>
      </c>
    </row>
    <row r="1666" spans="1:11" s="51" customFormat="1" ht="97.2" customHeight="1" x14ac:dyDescent="0.25">
      <c r="A1666" s="22">
        <v>1368</v>
      </c>
      <c r="B1666" s="231"/>
      <c r="C1666" s="25" t="s">
        <v>2063</v>
      </c>
      <c r="D1666" s="42" t="s">
        <v>1944</v>
      </c>
      <c r="E1666" s="42" t="s">
        <v>1945</v>
      </c>
      <c r="F1666" s="69">
        <f t="shared" si="105"/>
        <v>56.599980000000002</v>
      </c>
      <c r="G1666" s="69">
        <v>0</v>
      </c>
      <c r="H1666" s="69">
        <f>56599.98/1000</f>
        <v>56.599980000000002</v>
      </c>
      <c r="I1666" s="69">
        <v>0</v>
      </c>
      <c r="J1666" s="69">
        <v>0</v>
      </c>
      <c r="K1666" s="35">
        <v>45231</v>
      </c>
    </row>
    <row r="1667" spans="1:11" s="51" customFormat="1" ht="75" customHeight="1" x14ac:dyDescent="0.25">
      <c r="A1667" s="22">
        <v>1369</v>
      </c>
      <c r="B1667" s="231"/>
      <c r="C1667" s="25" t="s">
        <v>2064</v>
      </c>
      <c r="D1667" s="42" t="s">
        <v>96</v>
      </c>
      <c r="E1667" s="42" t="s">
        <v>1945</v>
      </c>
      <c r="F1667" s="69">
        <f t="shared" si="105"/>
        <v>646.4</v>
      </c>
      <c r="G1667" s="69">
        <v>0</v>
      </c>
      <c r="H1667" s="69">
        <f>646400/1000</f>
        <v>646.4</v>
      </c>
      <c r="I1667" s="69">
        <v>0</v>
      </c>
      <c r="J1667" s="69">
        <v>0</v>
      </c>
      <c r="K1667" s="36">
        <v>45017</v>
      </c>
    </row>
    <row r="1668" spans="1:11" s="51" customFormat="1" ht="56.4" customHeight="1" x14ac:dyDescent="0.25">
      <c r="A1668" s="22">
        <v>1370</v>
      </c>
      <c r="B1668" s="231"/>
      <c r="C1668" s="25" t="s">
        <v>2065</v>
      </c>
      <c r="D1668" s="42" t="s">
        <v>2066</v>
      </c>
      <c r="E1668" s="42" t="s">
        <v>1945</v>
      </c>
      <c r="F1668" s="69">
        <f t="shared" si="105"/>
        <v>68.231300000000005</v>
      </c>
      <c r="G1668" s="69">
        <v>0</v>
      </c>
      <c r="H1668" s="69">
        <f>68231.3/1000</f>
        <v>68.231300000000005</v>
      </c>
      <c r="I1668" s="69">
        <v>0</v>
      </c>
      <c r="J1668" s="69">
        <v>0</v>
      </c>
      <c r="K1668" s="36">
        <v>45017</v>
      </c>
    </row>
    <row r="1669" spans="1:11" s="51" customFormat="1" ht="54" customHeight="1" x14ac:dyDescent="0.25">
      <c r="A1669" s="22">
        <v>1371</v>
      </c>
      <c r="B1669" s="231"/>
      <c r="C1669" s="25" t="s">
        <v>2067</v>
      </c>
      <c r="D1669" s="42" t="s">
        <v>2002</v>
      </c>
      <c r="E1669" s="42" t="s">
        <v>1945</v>
      </c>
      <c r="F1669" s="69">
        <f t="shared" si="105"/>
        <v>345.59101999999996</v>
      </c>
      <c r="G1669" s="69">
        <v>0</v>
      </c>
      <c r="H1669" s="69">
        <f>115197/1000</f>
        <v>115.197</v>
      </c>
      <c r="I1669" s="69">
        <f>230394.02/1000</f>
        <v>230.39401999999998</v>
      </c>
      <c r="J1669" s="69">
        <v>0</v>
      </c>
      <c r="K1669" s="37">
        <v>45139</v>
      </c>
    </row>
    <row r="1670" spans="1:11" s="51" customFormat="1" ht="55.2" customHeight="1" x14ac:dyDescent="0.25">
      <c r="A1670" s="22">
        <v>1372</v>
      </c>
      <c r="B1670" s="231"/>
      <c r="C1670" s="25" t="s">
        <v>2068</v>
      </c>
      <c r="D1670" s="42" t="s">
        <v>1982</v>
      </c>
      <c r="E1670" s="42" t="s">
        <v>1945</v>
      </c>
      <c r="F1670" s="69">
        <f t="shared" si="105"/>
        <v>604.86861999999996</v>
      </c>
      <c r="G1670" s="69">
        <v>0</v>
      </c>
      <c r="H1670" s="69">
        <f>604868.62/1000</f>
        <v>604.86861999999996</v>
      </c>
      <c r="I1670" s="69">
        <v>0</v>
      </c>
      <c r="J1670" s="69">
        <v>0</v>
      </c>
      <c r="K1670" s="36">
        <v>45017</v>
      </c>
    </row>
    <row r="1671" spans="1:11" s="51" customFormat="1" ht="26.4" x14ac:dyDescent="0.25">
      <c r="A1671" s="22">
        <v>1373</v>
      </c>
      <c r="B1671" s="231"/>
      <c r="C1671" s="25" t="s">
        <v>2069</v>
      </c>
      <c r="D1671" s="42" t="s">
        <v>1988</v>
      </c>
      <c r="E1671" s="42" t="s">
        <v>1945</v>
      </c>
      <c r="F1671" s="69">
        <f t="shared" si="105"/>
        <v>174.73463000000001</v>
      </c>
      <c r="G1671" s="69">
        <v>0</v>
      </c>
      <c r="H1671" s="69">
        <f>174734.63/1000</f>
        <v>174.73463000000001</v>
      </c>
      <c r="I1671" s="69">
        <v>0</v>
      </c>
      <c r="J1671" s="69">
        <v>0</v>
      </c>
      <c r="K1671" s="36">
        <v>45047</v>
      </c>
    </row>
    <row r="1672" spans="1:11" s="51" customFormat="1" ht="27.6" customHeight="1" x14ac:dyDescent="0.25">
      <c r="A1672" s="245" t="s">
        <v>2070</v>
      </c>
      <c r="B1672" s="245"/>
      <c r="C1672" s="245"/>
      <c r="D1672" s="245"/>
      <c r="E1672" s="245"/>
      <c r="F1672" s="29">
        <f>SUM(F1633:F1671)</f>
        <v>37734.943420000003</v>
      </c>
      <c r="G1672" s="29">
        <f t="shared" ref="G1672:J1672" si="106">SUM(G1633:G1671)</f>
        <v>0</v>
      </c>
      <c r="H1672" s="29">
        <f t="shared" si="106"/>
        <v>28193.152839999992</v>
      </c>
      <c r="I1672" s="29">
        <f t="shared" si="106"/>
        <v>9541.790579999999</v>
      </c>
      <c r="J1672" s="29">
        <f t="shared" si="106"/>
        <v>0</v>
      </c>
      <c r="K1672" s="38"/>
    </row>
    <row r="1673" spans="1:11" s="51" customFormat="1" ht="64.2" customHeight="1" x14ac:dyDescent="0.25">
      <c r="A1673" s="22">
        <v>1374</v>
      </c>
      <c r="B1673" s="197" t="s">
        <v>1942</v>
      </c>
      <c r="C1673" s="25" t="s">
        <v>2004</v>
      </c>
      <c r="D1673" s="42" t="s">
        <v>2005</v>
      </c>
      <c r="E1673" s="42" t="s">
        <v>1945</v>
      </c>
      <c r="F1673" s="69">
        <f t="shared" ref="F1673:F1709" si="107">(G1673+H1673+I1673)</f>
        <v>1492.9054599999999</v>
      </c>
      <c r="G1673" s="69">
        <v>0</v>
      </c>
      <c r="H1673" s="69">
        <v>0</v>
      </c>
      <c r="I1673" s="69">
        <f>1492905.46/1000</f>
        <v>1492.9054599999999</v>
      </c>
      <c r="J1673" s="69">
        <v>0</v>
      </c>
      <c r="K1673" s="37">
        <v>45200</v>
      </c>
    </row>
    <row r="1674" spans="1:11" s="51" customFormat="1" ht="49.2" customHeight="1" x14ac:dyDescent="0.25">
      <c r="A1674" s="22">
        <v>1375</v>
      </c>
      <c r="B1674" s="231"/>
      <c r="C1674" s="25" t="s">
        <v>2006</v>
      </c>
      <c r="D1674" s="42" t="s">
        <v>98</v>
      </c>
      <c r="E1674" s="42" t="s">
        <v>1945</v>
      </c>
      <c r="F1674" s="69">
        <f t="shared" si="107"/>
        <v>57.729959999999998</v>
      </c>
      <c r="G1674" s="69">
        <v>0</v>
      </c>
      <c r="H1674" s="69">
        <v>0</v>
      </c>
      <c r="I1674" s="69">
        <f>57729.96/1000</f>
        <v>57.729959999999998</v>
      </c>
      <c r="J1674" s="69">
        <v>0</v>
      </c>
      <c r="K1674" s="37">
        <v>45200</v>
      </c>
    </row>
    <row r="1675" spans="1:11" s="51" customFormat="1" ht="79.2" x14ac:dyDescent="0.25">
      <c r="A1675" s="22">
        <v>1376</v>
      </c>
      <c r="B1675" s="231"/>
      <c r="C1675" s="25" t="s">
        <v>2071</v>
      </c>
      <c r="D1675" s="42" t="s">
        <v>2010</v>
      </c>
      <c r="E1675" s="42" t="s">
        <v>1945</v>
      </c>
      <c r="F1675" s="69">
        <f t="shared" si="107"/>
        <v>2064.6406999999999</v>
      </c>
      <c r="G1675" s="69">
        <v>0</v>
      </c>
      <c r="H1675" s="69">
        <v>0</v>
      </c>
      <c r="I1675" s="69">
        <f>2064640.7/1000</f>
        <v>2064.6406999999999</v>
      </c>
      <c r="J1675" s="69">
        <v>0</v>
      </c>
      <c r="K1675" s="37">
        <v>45200</v>
      </c>
    </row>
    <row r="1676" spans="1:11" s="51" customFormat="1" ht="102" customHeight="1" x14ac:dyDescent="0.25">
      <c r="A1676" s="22">
        <v>1377</v>
      </c>
      <c r="B1676" s="231"/>
      <c r="C1676" s="25" t="s">
        <v>2072</v>
      </c>
      <c r="D1676" s="42" t="s">
        <v>2012</v>
      </c>
      <c r="E1676" s="42" t="s">
        <v>2013</v>
      </c>
      <c r="F1676" s="69">
        <f t="shared" si="107"/>
        <v>2374.3999599999997</v>
      </c>
      <c r="G1676" s="69">
        <v>0</v>
      </c>
      <c r="H1676" s="69">
        <v>0</v>
      </c>
      <c r="I1676" s="69">
        <f>2374399.96/1000</f>
        <v>2374.3999599999997</v>
      </c>
      <c r="J1676" s="69">
        <v>0</v>
      </c>
      <c r="K1676" s="37">
        <v>45200</v>
      </c>
    </row>
    <row r="1677" spans="1:11" s="51" customFormat="1" ht="51.6" customHeight="1" x14ac:dyDescent="0.25">
      <c r="A1677" s="22">
        <v>1378</v>
      </c>
      <c r="B1677" s="231"/>
      <c r="C1677" s="25" t="s">
        <v>2073</v>
      </c>
      <c r="D1677" s="42" t="s">
        <v>2024</v>
      </c>
      <c r="E1677" s="42" t="s">
        <v>1945</v>
      </c>
      <c r="F1677" s="69">
        <f t="shared" si="107"/>
        <v>275</v>
      </c>
      <c r="G1677" s="69">
        <v>0</v>
      </c>
      <c r="H1677" s="69">
        <v>0</v>
      </c>
      <c r="I1677" s="69">
        <f>275000/1000</f>
        <v>275</v>
      </c>
      <c r="J1677" s="69">
        <v>0</v>
      </c>
      <c r="K1677" s="35">
        <v>45231</v>
      </c>
    </row>
    <row r="1678" spans="1:11" s="51" customFormat="1" ht="97.2" customHeight="1" x14ac:dyDescent="0.25">
      <c r="A1678" s="22">
        <v>1379</v>
      </c>
      <c r="B1678" s="231"/>
      <c r="C1678" s="25" t="s">
        <v>2074</v>
      </c>
      <c r="D1678" s="42" t="s">
        <v>2026</v>
      </c>
      <c r="E1678" s="42" t="s">
        <v>1945</v>
      </c>
      <c r="F1678" s="69">
        <f t="shared" si="107"/>
        <v>487.21199999999999</v>
      </c>
      <c r="G1678" s="69">
        <v>0</v>
      </c>
      <c r="H1678" s="69">
        <v>0</v>
      </c>
      <c r="I1678" s="69">
        <f>487212/1000</f>
        <v>487.21199999999999</v>
      </c>
      <c r="J1678" s="69">
        <v>0</v>
      </c>
      <c r="K1678" s="35">
        <v>45231</v>
      </c>
    </row>
    <row r="1679" spans="1:11" s="51" customFormat="1" ht="112.2" customHeight="1" x14ac:dyDescent="0.25">
      <c r="A1679" s="22">
        <v>1380</v>
      </c>
      <c r="B1679" s="231"/>
      <c r="C1679" s="25" t="s">
        <v>2075</v>
      </c>
      <c r="D1679" s="42" t="s">
        <v>2040</v>
      </c>
      <c r="E1679" s="42" t="s">
        <v>1945</v>
      </c>
      <c r="F1679" s="69">
        <f t="shared" si="107"/>
        <v>626.34411</v>
      </c>
      <c r="G1679" s="69">
        <v>0</v>
      </c>
      <c r="H1679" s="69">
        <v>0</v>
      </c>
      <c r="I1679" s="69">
        <f>626344.11/1000</f>
        <v>626.34411</v>
      </c>
      <c r="J1679" s="69">
        <v>0</v>
      </c>
      <c r="K1679" s="35">
        <v>45231</v>
      </c>
    </row>
    <row r="1680" spans="1:11" s="51" customFormat="1" ht="58.8" customHeight="1" x14ac:dyDescent="0.25">
      <c r="A1680" s="22">
        <v>1381</v>
      </c>
      <c r="B1680" s="231"/>
      <c r="C1680" s="25" t="s">
        <v>2076</v>
      </c>
      <c r="D1680" s="42" t="s">
        <v>2017</v>
      </c>
      <c r="E1680" s="42" t="s">
        <v>1945</v>
      </c>
      <c r="F1680" s="69">
        <f t="shared" si="107"/>
        <v>350</v>
      </c>
      <c r="G1680" s="69">
        <v>0</v>
      </c>
      <c r="H1680" s="69">
        <v>0</v>
      </c>
      <c r="I1680" s="69">
        <f>350000/1000</f>
        <v>350</v>
      </c>
      <c r="J1680" s="69">
        <v>0</v>
      </c>
      <c r="K1680" s="35">
        <v>45231</v>
      </c>
    </row>
    <row r="1681" spans="1:11" s="51" customFormat="1" ht="61.8" customHeight="1" x14ac:dyDescent="0.25">
      <c r="A1681" s="22">
        <v>1382</v>
      </c>
      <c r="B1681" s="231"/>
      <c r="C1681" s="25" t="s">
        <v>2077</v>
      </c>
      <c r="D1681" s="42" t="s">
        <v>2019</v>
      </c>
      <c r="E1681" s="42" t="s">
        <v>1945</v>
      </c>
      <c r="F1681" s="69">
        <f t="shared" si="107"/>
        <v>800</v>
      </c>
      <c r="G1681" s="69">
        <v>0</v>
      </c>
      <c r="H1681" s="69">
        <v>0</v>
      </c>
      <c r="I1681" s="69">
        <f>800000/1000</f>
        <v>800</v>
      </c>
      <c r="J1681" s="69">
        <v>0</v>
      </c>
      <c r="K1681" s="35">
        <v>45231</v>
      </c>
    </row>
    <row r="1682" spans="1:11" s="51" customFormat="1" ht="63" customHeight="1" x14ac:dyDescent="0.25">
      <c r="A1682" s="22">
        <v>1383</v>
      </c>
      <c r="B1682" s="231"/>
      <c r="C1682" s="25" t="s">
        <v>2078</v>
      </c>
      <c r="D1682" s="42" t="s">
        <v>2030</v>
      </c>
      <c r="E1682" s="42" t="s">
        <v>1945</v>
      </c>
      <c r="F1682" s="69">
        <f t="shared" si="107"/>
        <v>387.5718</v>
      </c>
      <c r="G1682" s="69">
        <v>0</v>
      </c>
      <c r="H1682" s="69">
        <v>0</v>
      </c>
      <c r="I1682" s="69">
        <f>387571.8/1000</f>
        <v>387.5718</v>
      </c>
      <c r="J1682" s="69">
        <v>0</v>
      </c>
      <c r="K1682" s="37">
        <v>45200</v>
      </c>
    </row>
    <row r="1683" spans="1:11" s="51" customFormat="1" ht="133.19999999999999" customHeight="1" x14ac:dyDescent="0.25">
      <c r="A1683" s="22">
        <v>1384</v>
      </c>
      <c r="B1683" s="231"/>
      <c r="C1683" s="25" t="s">
        <v>2079</v>
      </c>
      <c r="D1683" s="42" t="s">
        <v>2028</v>
      </c>
      <c r="E1683" s="42" t="s">
        <v>1945</v>
      </c>
      <c r="F1683" s="69">
        <f t="shared" si="107"/>
        <v>677.93</v>
      </c>
      <c r="G1683" s="69">
        <v>0</v>
      </c>
      <c r="H1683" s="69">
        <v>0</v>
      </c>
      <c r="I1683" s="69">
        <f>677930/1000</f>
        <v>677.93</v>
      </c>
      <c r="J1683" s="69">
        <v>0</v>
      </c>
      <c r="K1683" s="37">
        <v>45200</v>
      </c>
    </row>
    <row r="1684" spans="1:11" s="51" customFormat="1" ht="52.8" x14ac:dyDescent="0.25">
      <c r="A1684" s="22">
        <v>1385</v>
      </c>
      <c r="B1684" s="231"/>
      <c r="C1684" s="25" t="s">
        <v>2080</v>
      </c>
      <c r="D1684" s="42" t="s">
        <v>2042</v>
      </c>
      <c r="E1684" s="42" t="s">
        <v>1945</v>
      </c>
      <c r="F1684" s="69">
        <f t="shared" si="107"/>
        <v>786.5</v>
      </c>
      <c r="G1684" s="69">
        <v>0</v>
      </c>
      <c r="H1684" s="69">
        <v>0</v>
      </c>
      <c r="I1684" s="69">
        <f>786500/1000</f>
        <v>786.5</v>
      </c>
      <c r="J1684" s="69">
        <v>0</v>
      </c>
      <c r="K1684" s="37">
        <v>45200</v>
      </c>
    </row>
    <row r="1685" spans="1:11" s="51" customFormat="1" ht="53.4" customHeight="1" x14ac:dyDescent="0.25">
      <c r="A1685" s="22">
        <v>1386</v>
      </c>
      <c r="B1685" s="231"/>
      <c r="C1685" s="25" t="s">
        <v>2081</v>
      </c>
      <c r="D1685" s="42" t="s">
        <v>2032</v>
      </c>
      <c r="E1685" s="42" t="s">
        <v>1945</v>
      </c>
      <c r="F1685" s="69">
        <f t="shared" si="107"/>
        <v>359.5702</v>
      </c>
      <c r="G1685" s="69">
        <v>0</v>
      </c>
      <c r="H1685" s="69">
        <v>0</v>
      </c>
      <c r="I1685" s="69">
        <f>359570.2/1000</f>
        <v>359.5702</v>
      </c>
      <c r="J1685" s="69">
        <v>0</v>
      </c>
      <c r="K1685" s="35">
        <v>45231</v>
      </c>
    </row>
    <row r="1686" spans="1:11" s="51" customFormat="1" ht="61.2" customHeight="1" x14ac:dyDescent="0.25">
      <c r="A1686" s="22">
        <v>1387</v>
      </c>
      <c r="B1686" s="231"/>
      <c r="C1686" s="25" t="s">
        <v>2082</v>
      </c>
      <c r="D1686" s="42" t="s">
        <v>2036</v>
      </c>
      <c r="E1686" s="42" t="s">
        <v>1945</v>
      </c>
      <c r="F1686" s="69">
        <f t="shared" si="107"/>
        <v>228.2</v>
      </c>
      <c r="G1686" s="69">
        <v>0</v>
      </c>
      <c r="H1686" s="69">
        <v>0</v>
      </c>
      <c r="I1686" s="69">
        <f>228200/1000</f>
        <v>228.2</v>
      </c>
      <c r="J1686" s="69">
        <v>0</v>
      </c>
      <c r="K1686" s="35">
        <v>45231</v>
      </c>
    </row>
    <row r="1687" spans="1:11" s="51" customFormat="1" ht="109.2" customHeight="1" x14ac:dyDescent="0.25">
      <c r="A1687" s="22">
        <v>1388</v>
      </c>
      <c r="B1687" s="231"/>
      <c r="C1687" s="25" t="s">
        <v>2083</v>
      </c>
      <c r="D1687" s="42" t="s">
        <v>2044</v>
      </c>
      <c r="E1687" s="42" t="s">
        <v>1945</v>
      </c>
      <c r="F1687" s="69">
        <f t="shared" si="107"/>
        <v>663.29856999999993</v>
      </c>
      <c r="G1687" s="69">
        <v>0</v>
      </c>
      <c r="H1687" s="69">
        <v>0</v>
      </c>
      <c r="I1687" s="69">
        <f>663298.57/1000</f>
        <v>663.29856999999993</v>
      </c>
      <c r="J1687" s="69">
        <v>0</v>
      </c>
      <c r="K1687" s="37">
        <v>45170</v>
      </c>
    </row>
    <row r="1688" spans="1:11" s="51" customFormat="1" ht="109.8" customHeight="1" x14ac:dyDescent="0.25">
      <c r="A1688" s="22">
        <v>1389</v>
      </c>
      <c r="B1688" s="231"/>
      <c r="C1688" s="25" t="s">
        <v>2084</v>
      </c>
      <c r="D1688" s="42" t="s">
        <v>2038</v>
      </c>
      <c r="E1688" s="42" t="s">
        <v>1945</v>
      </c>
      <c r="F1688" s="69">
        <f t="shared" si="107"/>
        <v>59.5</v>
      </c>
      <c r="G1688" s="69">
        <v>0</v>
      </c>
      <c r="H1688" s="69">
        <v>0</v>
      </c>
      <c r="I1688" s="69">
        <f>59500/1000</f>
        <v>59.5</v>
      </c>
      <c r="J1688" s="69">
        <v>0</v>
      </c>
      <c r="K1688" s="37">
        <v>45170</v>
      </c>
    </row>
    <row r="1689" spans="1:11" s="51" customFormat="1" ht="54.6" customHeight="1" x14ac:dyDescent="0.25">
      <c r="A1689" s="22">
        <v>1390</v>
      </c>
      <c r="B1689" s="231"/>
      <c r="C1689" s="25" t="s">
        <v>2085</v>
      </c>
      <c r="D1689" s="42" t="s">
        <v>2015</v>
      </c>
      <c r="E1689" s="42" t="s">
        <v>1945</v>
      </c>
      <c r="F1689" s="69">
        <f t="shared" si="107"/>
        <v>39.6</v>
      </c>
      <c r="G1689" s="69">
        <v>0</v>
      </c>
      <c r="H1689" s="69">
        <v>0</v>
      </c>
      <c r="I1689" s="69">
        <f>39600/1000</f>
        <v>39.6</v>
      </c>
      <c r="J1689" s="69">
        <v>0</v>
      </c>
      <c r="K1689" s="37">
        <v>45170</v>
      </c>
    </row>
    <row r="1690" spans="1:11" s="51" customFormat="1" ht="67.8" customHeight="1" x14ac:dyDescent="0.25">
      <c r="A1690" s="22">
        <v>1391</v>
      </c>
      <c r="B1690" s="231"/>
      <c r="C1690" s="25" t="s">
        <v>2086</v>
      </c>
      <c r="D1690" s="42" t="s">
        <v>2046</v>
      </c>
      <c r="E1690" s="42" t="s">
        <v>1945</v>
      </c>
      <c r="F1690" s="69">
        <f t="shared" si="107"/>
        <v>130.15689</v>
      </c>
      <c r="G1690" s="69">
        <v>0</v>
      </c>
      <c r="H1690" s="69">
        <v>0</v>
      </c>
      <c r="I1690" s="69">
        <f>130156.89/1000</f>
        <v>130.15689</v>
      </c>
      <c r="J1690" s="69">
        <v>0</v>
      </c>
      <c r="K1690" s="37">
        <v>45200</v>
      </c>
    </row>
    <row r="1691" spans="1:11" s="51" customFormat="1" ht="53.4" customHeight="1" x14ac:dyDescent="0.25">
      <c r="A1691" s="22">
        <v>1392</v>
      </c>
      <c r="B1691" s="231"/>
      <c r="C1691" s="25" t="s">
        <v>2087</v>
      </c>
      <c r="D1691" s="42" t="s">
        <v>2034</v>
      </c>
      <c r="E1691" s="42" t="s">
        <v>1945</v>
      </c>
      <c r="F1691" s="69">
        <f t="shared" si="107"/>
        <v>78.906739999999999</v>
      </c>
      <c r="G1691" s="69">
        <v>0</v>
      </c>
      <c r="H1691" s="69">
        <v>0</v>
      </c>
      <c r="I1691" s="69">
        <f>78906.74/1000</f>
        <v>78.906739999999999</v>
      </c>
      <c r="J1691" s="69">
        <v>0</v>
      </c>
      <c r="K1691" s="35">
        <v>45231</v>
      </c>
    </row>
    <row r="1692" spans="1:11" s="51" customFormat="1" ht="37.200000000000003" customHeight="1" x14ac:dyDescent="0.25">
      <c r="A1692" s="22">
        <v>1393</v>
      </c>
      <c r="B1692" s="231"/>
      <c r="C1692" s="25" t="s">
        <v>2088</v>
      </c>
      <c r="D1692" s="42" t="s">
        <v>2021</v>
      </c>
      <c r="E1692" s="42" t="s">
        <v>1945</v>
      </c>
      <c r="F1692" s="69">
        <f t="shared" si="107"/>
        <v>2673.2269900000001</v>
      </c>
      <c r="G1692" s="69">
        <v>0</v>
      </c>
      <c r="H1692" s="69">
        <v>0</v>
      </c>
      <c r="I1692" s="69">
        <f>2673226.99/1000</f>
        <v>2673.2269900000001</v>
      </c>
      <c r="J1692" s="69">
        <v>0</v>
      </c>
      <c r="K1692" s="37">
        <v>45200</v>
      </c>
    </row>
    <row r="1693" spans="1:11" s="51" customFormat="1" ht="26.4" x14ac:dyDescent="0.25">
      <c r="A1693" s="22">
        <v>1394</v>
      </c>
      <c r="B1693" s="231"/>
      <c r="C1693" s="25" t="s">
        <v>2089</v>
      </c>
      <c r="D1693" s="42" t="s">
        <v>279</v>
      </c>
      <c r="E1693" s="42" t="s">
        <v>1945</v>
      </c>
      <c r="F1693" s="69">
        <f t="shared" si="107"/>
        <v>1556.8188500000001</v>
      </c>
      <c r="G1693" s="69">
        <v>0</v>
      </c>
      <c r="H1693" s="69">
        <v>0</v>
      </c>
      <c r="I1693" s="69">
        <f>1556818.85/1000</f>
        <v>1556.8188500000001</v>
      </c>
      <c r="J1693" s="69">
        <v>0</v>
      </c>
      <c r="K1693" s="37">
        <v>45200</v>
      </c>
    </row>
    <row r="1694" spans="1:11" s="51" customFormat="1" ht="94.2" customHeight="1" x14ac:dyDescent="0.25">
      <c r="A1694" s="22">
        <v>1395</v>
      </c>
      <c r="B1694" s="231"/>
      <c r="C1694" s="25" t="s">
        <v>2090</v>
      </c>
      <c r="D1694" s="42" t="s">
        <v>2008</v>
      </c>
      <c r="E1694" s="42" t="s">
        <v>1945</v>
      </c>
      <c r="F1694" s="69">
        <f t="shared" si="107"/>
        <v>958.82202000000007</v>
      </c>
      <c r="G1694" s="69">
        <v>0</v>
      </c>
      <c r="H1694" s="69">
        <v>0</v>
      </c>
      <c r="I1694" s="69">
        <f>958822.02/1000</f>
        <v>958.82202000000007</v>
      </c>
      <c r="J1694" s="69">
        <v>0</v>
      </c>
      <c r="K1694" s="37">
        <v>45200</v>
      </c>
    </row>
    <row r="1695" spans="1:11" s="51" customFormat="1" ht="54" customHeight="1" x14ac:dyDescent="0.25">
      <c r="A1695" s="22">
        <v>1396</v>
      </c>
      <c r="B1695" s="231"/>
      <c r="C1695" s="25" t="s">
        <v>2091</v>
      </c>
      <c r="D1695" s="42" t="s">
        <v>1980</v>
      </c>
      <c r="E1695" s="42" t="s">
        <v>1945</v>
      </c>
      <c r="F1695" s="69">
        <f t="shared" si="107"/>
        <v>434.48609999999996</v>
      </c>
      <c r="G1695" s="69">
        <v>0</v>
      </c>
      <c r="H1695" s="69">
        <v>0</v>
      </c>
      <c r="I1695" s="69">
        <f>434486.1/1000</f>
        <v>434.48609999999996</v>
      </c>
      <c r="J1695" s="69">
        <v>0</v>
      </c>
      <c r="K1695" s="36">
        <v>45444</v>
      </c>
    </row>
    <row r="1696" spans="1:11" s="51" customFormat="1" ht="53.4" customHeight="1" x14ac:dyDescent="0.25">
      <c r="A1696" s="22">
        <v>1397</v>
      </c>
      <c r="B1696" s="231"/>
      <c r="C1696" s="25" t="s">
        <v>2092</v>
      </c>
      <c r="D1696" s="42" t="s">
        <v>1967</v>
      </c>
      <c r="E1696" s="42" t="s">
        <v>1945</v>
      </c>
      <c r="F1696" s="69">
        <f t="shared" si="107"/>
        <v>971.85617000000002</v>
      </c>
      <c r="G1696" s="69">
        <v>0</v>
      </c>
      <c r="H1696" s="69">
        <v>0</v>
      </c>
      <c r="I1696" s="69">
        <f>971856.17/1000</f>
        <v>971.85617000000002</v>
      </c>
      <c r="J1696" s="69">
        <v>0</v>
      </c>
      <c r="K1696" s="37">
        <v>45474</v>
      </c>
    </row>
    <row r="1697" spans="1:11" s="51" customFormat="1" ht="45" customHeight="1" x14ac:dyDescent="0.25">
      <c r="A1697" s="22">
        <v>1398</v>
      </c>
      <c r="B1697" s="231"/>
      <c r="C1697" s="25" t="s">
        <v>2093</v>
      </c>
      <c r="D1697" s="42" t="s">
        <v>2053</v>
      </c>
      <c r="E1697" s="42" t="s">
        <v>1945</v>
      </c>
      <c r="F1697" s="69">
        <f t="shared" si="107"/>
        <v>164.31667000000002</v>
      </c>
      <c r="G1697" s="69">
        <v>0</v>
      </c>
      <c r="H1697" s="69">
        <v>0</v>
      </c>
      <c r="I1697" s="69">
        <f>164316.67/1000</f>
        <v>164.31667000000002</v>
      </c>
      <c r="J1697" s="69">
        <v>0</v>
      </c>
      <c r="K1697" s="36">
        <v>45413</v>
      </c>
    </row>
    <row r="1698" spans="1:11" s="51" customFormat="1" ht="74.400000000000006" customHeight="1" x14ac:dyDescent="0.25">
      <c r="A1698" s="22">
        <v>1399</v>
      </c>
      <c r="B1698" s="231"/>
      <c r="C1698" s="25" t="s">
        <v>2094</v>
      </c>
      <c r="D1698" s="42" t="s">
        <v>2055</v>
      </c>
      <c r="E1698" s="42" t="s">
        <v>1945</v>
      </c>
      <c r="F1698" s="69">
        <f t="shared" si="107"/>
        <v>541.33199000000002</v>
      </c>
      <c r="G1698" s="69">
        <v>0</v>
      </c>
      <c r="H1698" s="69">
        <v>0</v>
      </c>
      <c r="I1698" s="69">
        <f>541331.99/1000</f>
        <v>541.33199000000002</v>
      </c>
      <c r="J1698" s="69">
        <v>0</v>
      </c>
      <c r="K1698" s="37">
        <v>45474</v>
      </c>
    </row>
    <row r="1699" spans="1:11" s="51" customFormat="1" ht="53.4" customHeight="1" x14ac:dyDescent="0.25">
      <c r="A1699" s="22">
        <v>1400</v>
      </c>
      <c r="B1699" s="231"/>
      <c r="C1699" s="25" t="s">
        <v>2095</v>
      </c>
      <c r="D1699" s="42" t="s">
        <v>2000</v>
      </c>
      <c r="E1699" s="42" t="s">
        <v>1945</v>
      </c>
      <c r="F1699" s="69">
        <f t="shared" si="107"/>
        <v>5468.9888200000005</v>
      </c>
      <c r="G1699" s="69">
        <v>0</v>
      </c>
      <c r="H1699" s="69">
        <v>0</v>
      </c>
      <c r="I1699" s="69">
        <f>5468988.82/1000</f>
        <v>5468.9888200000005</v>
      </c>
      <c r="J1699" s="69">
        <v>0</v>
      </c>
      <c r="K1699" s="36">
        <v>45444</v>
      </c>
    </row>
    <row r="1700" spans="1:11" s="51" customFormat="1" ht="34.799999999999997" customHeight="1" x14ac:dyDescent="0.25">
      <c r="A1700" s="22">
        <v>1401</v>
      </c>
      <c r="B1700" s="231"/>
      <c r="C1700" s="25" t="s">
        <v>2096</v>
      </c>
      <c r="D1700" s="42" t="s">
        <v>1972</v>
      </c>
      <c r="E1700" s="42" t="s">
        <v>1945</v>
      </c>
      <c r="F1700" s="69">
        <f t="shared" si="107"/>
        <v>475.75076000000001</v>
      </c>
      <c r="G1700" s="69">
        <v>0</v>
      </c>
      <c r="H1700" s="69">
        <v>0</v>
      </c>
      <c r="I1700" s="69">
        <f>475750.76/1000</f>
        <v>475.75076000000001</v>
      </c>
      <c r="J1700" s="69">
        <v>0</v>
      </c>
      <c r="K1700" s="36">
        <v>45444</v>
      </c>
    </row>
    <row r="1701" spans="1:11" s="51" customFormat="1" ht="36.6" customHeight="1" x14ac:dyDescent="0.25">
      <c r="A1701" s="22">
        <v>1402</v>
      </c>
      <c r="B1701" s="231"/>
      <c r="C1701" s="25" t="s">
        <v>2097</v>
      </c>
      <c r="D1701" s="42" t="s">
        <v>1947</v>
      </c>
      <c r="E1701" s="42" t="s">
        <v>1945</v>
      </c>
      <c r="F1701" s="69">
        <f t="shared" si="107"/>
        <v>430.08340000000004</v>
      </c>
      <c r="G1701" s="69">
        <v>0</v>
      </c>
      <c r="H1701" s="69">
        <v>0</v>
      </c>
      <c r="I1701" s="69">
        <f>430083.4/1000</f>
        <v>430.08340000000004</v>
      </c>
      <c r="J1701" s="69">
        <v>0</v>
      </c>
      <c r="K1701" s="37">
        <v>45474</v>
      </c>
    </row>
    <row r="1702" spans="1:11" s="51" customFormat="1" ht="34.799999999999997" customHeight="1" x14ac:dyDescent="0.25">
      <c r="A1702" s="22">
        <v>1403</v>
      </c>
      <c r="B1702" s="231"/>
      <c r="C1702" s="25" t="s">
        <v>2098</v>
      </c>
      <c r="D1702" s="42" t="s">
        <v>2062</v>
      </c>
      <c r="E1702" s="42" t="s">
        <v>1945</v>
      </c>
      <c r="F1702" s="69">
        <f t="shared" si="107"/>
        <v>170.91679999999999</v>
      </c>
      <c r="G1702" s="69">
        <v>0</v>
      </c>
      <c r="H1702" s="69">
        <v>0</v>
      </c>
      <c r="I1702" s="69">
        <f>170916.8/1000</f>
        <v>170.91679999999999</v>
      </c>
      <c r="J1702" s="69">
        <v>0</v>
      </c>
      <c r="K1702" s="36">
        <v>45413</v>
      </c>
    </row>
    <row r="1703" spans="1:11" s="51" customFormat="1" ht="61.8" customHeight="1" x14ac:dyDescent="0.25">
      <c r="A1703" s="22">
        <v>1404</v>
      </c>
      <c r="B1703" s="231"/>
      <c r="C1703" s="25" t="s">
        <v>2099</v>
      </c>
      <c r="D1703" s="42" t="s">
        <v>1970</v>
      </c>
      <c r="E1703" s="42" t="s">
        <v>1945</v>
      </c>
      <c r="F1703" s="69">
        <f t="shared" si="107"/>
        <v>312</v>
      </c>
      <c r="G1703" s="69">
        <v>0</v>
      </c>
      <c r="H1703" s="69">
        <v>0</v>
      </c>
      <c r="I1703" s="69">
        <f>312000/1000</f>
        <v>312</v>
      </c>
      <c r="J1703" s="69">
        <v>0</v>
      </c>
      <c r="K1703" s="36">
        <v>45383</v>
      </c>
    </row>
    <row r="1704" spans="1:11" s="51" customFormat="1" ht="95.4" customHeight="1" x14ac:dyDescent="0.25">
      <c r="A1704" s="22">
        <v>1405</v>
      </c>
      <c r="B1704" s="231"/>
      <c r="C1704" s="25" t="s">
        <v>2100</v>
      </c>
      <c r="D1704" s="42" t="s">
        <v>1944</v>
      </c>
      <c r="E1704" s="42" t="s">
        <v>1945</v>
      </c>
      <c r="F1704" s="69">
        <f t="shared" si="107"/>
        <v>56.599980000000002</v>
      </c>
      <c r="G1704" s="69">
        <v>0</v>
      </c>
      <c r="H1704" s="69">
        <v>0</v>
      </c>
      <c r="I1704" s="69">
        <f>56599.98/1000</f>
        <v>56.599980000000002</v>
      </c>
      <c r="J1704" s="69">
        <v>0</v>
      </c>
      <c r="K1704" s="37">
        <v>45200</v>
      </c>
    </row>
    <row r="1705" spans="1:11" s="51" customFormat="1" ht="39.6" customHeight="1" x14ac:dyDescent="0.25">
      <c r="A1705" s="22">
        <v>1406</v>
      </c>
      <c r="B1705" s="231"/>
      <c r="C1705" s="25" t="s">
        <v>2101</v>
      </c>
      <c r="D1705" s="42" t="s">
        <v>1956</v>
      </c>
      <c r="E1705" s="42" t="s">
        <v>1945</v>
      </c>
      <c r="F1705" s="69">
        <f t="shared" si="107"/>
        <v>394.99700000000001</v>
      </c>
      <c r="G1705" s="69">
        <v>0</v>
      </c>
      <c r="H1705" s="69">
        <v>0</v>
      </c>
      <c r="I1705" s="69">
        <f>394997/1000</f>
        <v>394.99700000000001</v>
      </c>
      <c r="J1705" s="69">
        <v>0</v>
      </c>
      <c r="K1705" s="36">
        <v>45413</v>
      </c>
    </row>
    <row r="1706" spans="1:11" s="51" customFormat="1" ht="55.8" customHeight="1" x14ac:dyDescent="0.25">
      <c r="A1706" s="22">
        <v>1407</v>
      </c>
      <c r="B1706" s="231"/>
      <c r="C1706" s="25" t="s">
        <v>2102</v>
      </c>
      <c r="D1706" s="42" t="s">
        <v>2066</v>
      </c>
      <c r="E1706" s="42" t="s">
        <v>1945</v>
      </c>
      <c r="F1706" s="69">
        <f t="shared" si="107"/>
        <v>68.231300000000005</v>
      </c>
      <c r="G1706" s="69">
        <v>0</v>
      </c>
      <c r="H1706" s="69">
        <v>0</v>
      </c>
      <c r="I1706" s="69">
        <f>68231.3/1000</f>
        <v>68.231300000000005</v>
      </c>
      <c r="J1706" s="69">
        <v>0</v>
      </c>
      <c r="K1706" s="36">
        <v>45383</v>
      </c>
    </row>
    <row r="1707" spans="1:11" s="51" customFormat="1" ht="52.8" customHeight="1" x14ac:dyDescent="0.25">
      <c r="A1707" s="22">
        <v>1408</v>
      </c>
      <c r="B1707" s="231"/>
      <c r="C1707" s="25" t="s">
        <v>2103</v>
      </c>
      <c r="D1707" s="42" t="s">
        <v>2002</v>
      </c>
      <c r="E1707" s="42" t="s">
        <v>1945</v>
      </c>
      <c r="F1707" s="69">
        <f t="shared" si="107"/>
        <v>115.197</v>
      </c>
      <c r="G1707" s="69">
        <v>0</v>
      </c>
      <c r="H1707" s="69">
        <v>0</v>
      </c>
      <c r="I1707" s="69">
        <f>115197/1000</f>
        <v>115.197</v>
      </c>
      <c r="J1707" s="69">
        <v>0</v>
      </c>
      <c r="K1707" s="37">
        <v>45505</v>
      </c>
    </row>
    <row r="1708" spans="1:11" s="51" customFormat="1" ht="52.2" customHeight="1" x14ac:dyDescent="0.25">
      <c r="A1708" s="22">
        <v>1409</v>
      </c>
      <c r="B1708" s="231"/>
      <c r="C1708" s="25" t="s">
        <v>2104</v>
      </c>
      <c r="D1708" s="42" t="s">
        <v>1982</v>
      </c>
      <c r="E1708" s="42" t="s">
        <v>1945</v>
      </c>
      <c r="F1708" s="69">
        <f t="shared" si="107"/>
        <v>604.86861999999996</v>
      </c>
      <c r="G1708" s="69">
        <v>0</v>
      </c>
      <c r="H1708" s="69">
        <v>0</v>
      </c>
      <c r="I1708" s="69">
        <f>604868.62/1000</f>
        <v>604.86861999999996</v>
      </c>
      <c r="J1708" s="69">
        <v>0</v>
      </c>
      <c r="K1708" s="36">
        <v>45383</v>
      </c>
    </row>
    <row r="1709" spans="1:11" s="51" customFormat="1" ht="34.799999999999997" customHeight="1" x14ac:dyDescent="0.25">
      <c r="A1709" s="22">
        <v>1410</v>
      </c>
      <c r="B1709" s="231"/>
      <c r="C1709" s="25" t="s">
        <v>2105</v>
      </c>
      <c r="D1709" s="42" t="s">
        <v>1988</v>
      </c>
      <c r="E1709" s="42" t="s">
        <v>1945</v>
      </c>
      <c r="F1709" s="69">
        <f t="shared" si="107"/>
        <v>174.73463000000001</v>
      </c>
      <c r="G1709" s="69">
        <v>0</v>
      </c>
      <c r="H1709" s="69">
        <v>0</v>
      </c>
      <c r="I1709" s="69">
        <f>174734.63/1000</f>
        <v>174.73463000000001</v>
      </c>
      <c r="J1709" s="69">
        <v>0</v>
      </c>
      <c r="K1709" s="37">
        <v>45505</v>
      </c>
    </row>
    <row r="1710" spans="1:11" s="51" customFormat="1" ht="25.2" customHeight="1" x14ac:dyDescent="0.25">
      <c r="A1710" s="245" t="s">
        <v>2106</v>
      </c>
      <c r="B1710" s="245"/>
      <c r="C1710" s="245"/>
      <c r="D1710" s="245"/>
      <c r="E1710" s="245"/>
      <c r="F1710" s="79">
        <f>SUM(F1673:F1709)</f>
        <v>27512.693489999994</v>
      </c>
      <c r="G1710" s="79">
        <f>SUM(G1673:G1709)</f>
        <v>0</v>
      </c>
      <c r="H1710" s="79">
        <f>SUM(H1673:H1709)</f>
        <v>0</v>
      </c>
      <c r="I1710" s="79">
        <f>SUM(I1673:I1709)</f>
        <v>27512.693489999994</v>
      </c>
      <c r="J1710" s="79">
        <f>SUM(J1673:J1709)</f>
        <v>0</v>
      </c>
      <c r="K1710" s="126"/>
    </row>
    <row r="1711" spans="1:11" s="51" customFormat="1" ht="37.799999999999997" customHeight="1" x14ac:dyDescent="0.25">
      <c r="A1711" s="95">
        <v>1411</v>
      </c>
      <c r="B1711" s="70" t="s">
        <v>2107</v>
      </c>
      <c r="C1711" s="96" t="s">
        <v>2108</v>
      </c>
      <c r="D1711" s="149" t="s">
        <v>2109</v>
      </c>
      <c r="E1711" s="149" t="s">
        <v>12</v>
      </c>
      <c r="F1711" s="66">
        <v>1968</v>
      </c>
      <c r="G1711" s="66">
        <v>1968</v>
      </c>
      <c r="H1711" s="66">
        <v>0</v>
      </c>
      <c r="I1711" s="66">
        <v>0</v>
      </c>
      <c r="J1711" s="71">
        <v>0</v>
      </c>
      <c r="K1711" s="55">
        <v>44652</v>
      </c>
    </row>
    <row r="1712" spans="1:11" s="51" customFormat="1" ht="27.6" customHeight="1" x14ac:dyDescent="0.25">
      <c r="A1712" s="195" t="s">
        <v>2110</v>
      </c>
      <c r="B1712" s="195"/>
      <c r="C1712" s="195"/>
      <c r="D1712" s="195"/>
      <c r="E1712" s="195"/>
      <c r="F1712" s="67">
        <v>1968</v>
      </c>
      <c r="G1712" s="67">
        <v>1968</v>
      </c>
      <c r="H1712" s="67">
        <v>0</v>
      </c>
      <c r="I1712" s="67">
        <v>0</v>
      </c>
      <c r="J1712" s="71">
        <v>0</v>
      </c>
      <c r="K1712" s="72"/>
    </row>
    <row r="1713" spans="1:11" s="51" customFormat="1" ht="41.4" customHeight="1" x14ac:dyDescent="0.25">
      <c r="A1713" s="95">
        <v>1412</v>
      </c>
      <c r="B1713" s="70" t="s">
        <v>2107</v>
      </c>
      <c r="C1713" s="96" t="s">
        <v>2111</v>
      </c>
      <c r="D1713" s="149" t="s">
        <v>2109</v>
      </c>
      <c r="E1713" s="149" t="s">
        <v>12</v>
      </c>
      <c r="F1713" s="66">
        <v>2826</v>
      </c>
      <c r="G1713" s="66">
        <v>0</v>
      </c>
      <c r="H1713" s="66">
        <v>2826</v>
      </c>
      <c r="I1713" s="66" t="s">
        <v>2112</v>
      </c>
      <c r="J1713" s="71">
        <v>0</v>
      </c>
      <c r="K1713" s="55">
        <v>44896</v>
      </c>
    </row>
    <row r="1714" spans="1:11" s="51" customFormat="1" ht="29.4" customHeight="1" x14ac:dyDescent="0.25">
      <c r="A1714" s="195" t="s">
        <v>2113</v>
      </c>
      <c r="B1714" s="195"/>
      <c r="C1714" s="195"/>
      <c r="D1714" s="195"/>
      <c r="E1714" s="195"/>
      <c r="F1714" s="67">
        <v>2826</v>
      </c>
      <c r="G1714" s="67">
        <v>0</v>
      </c>
      <c r="H1714" s="67">
        <v>2826</v>
      </c>
      <c r="I1714" s="67">
        <v>0</v>
      </c>
      <c r="J1714" s="71">
        <v>0</v>
      </c>
      <c r="K1714" s="73"/>
    </row>
    <row r="1715" spans="1:11" s="51" customFormat="1" ht="38.4" customHeight="1" x14ac:dyDescent="0.25">
      <c r="A1715" s="95">
        <v>1413</v>
      </c>
      <c r="B1715" s="70" t="s">
        <v>2107</v>
      </c>
      <c r="C1715" s="96" t="s">
        <v>2114</v>
      </c>
      <c r="D1715" s="149" t="s">
        <v>2109</v>
      </c>
      <c r="E1715" s="149" t="s">
        <v>12</v>
      </c>
      <c r="F1715" s="66">
        <v>2826</v>
      </c>
      <c r="G1715" s="66">
        <v>0</v>
      </c>
      <c r="H1715" s="66">
        <v>0</v>
      </c>
      <c r="I1715" s="66">
        <v>2826</v>
      </c>
      <c r="J1715" s="71">
        <v>0</v>
      </c>
      <c r="K1715" s="55">
        <v>45261</v>
      </c>
    </row>
    <row r="1716" spans="1:11" s="51" customFormat="1" ht="28.2" customHeight="1" x14ac:dyDescent="0.25">
      <c r="A1716" s="195" t="s">
        <v>2115</v>
      </c>
      <c r="B1716" s="195"/>
      <c r="C1716" s="195"/>
      <c r="D1716" s="195"/>
      <c r="E1716" s="195"/>
      <c r="F1716" s="67">
        <v>3150</v>
      </c>
      <c r="G1716" s="67">
        <v>0</v>
      </c>
      <c r="H1716" s="67">
        <v>0</v>
      </c>
      <c r="I1716" s="67">
        <v>3150</v>
      </c>
      <c r="J1716" s="71">
        <v>0</v>
      </c>
      <c r="K1716" s="72"/>
    </row>
    <row r="1717" spans="1:11" s="51" customFormat="1" ht="26.4" x14ac:dyDescent="0.25">
      <c r="A1717" s="22">
        <v>1414</v>
      </c>
      <c r="B1717" s="197" t="s">
        <v>2116</v>
      </c>
      <c r="C1717" s="16" t="s">
        <v>2117</v>
      </c>
      <c r="D1717" s="16" t="s">
        <v>2118</v>
      </c>
      <c r="E1717" s="16" t="s">
        <v>12</v>
      </c>
      <c r="F1717" s="23">
        <v>158.15</v>
      </c>
      <c r="G1717" s="23">
        <v>158.15</v>
      </c>
      <c r="H1717" s="24">
        <v>0</v>
      </c>
      <c r="I1717" s="24">
        <v>0</v>
      </c>
      <c r="J1717" s="24">
        <v>0</v>
      </c>
      <c r="K1717" s="77">
        <v>44621</v>
      </c>
    </row>
    <row r="1718" spans="1:11" s="51" customFormat="1" ht="52.8" customHeight="1" x14ac:dyDescent="0.25">
      <c r="A1718" s="22">
        <v>1415</v>
      </c>
      <c r="B1718" s="238"/>
      <c r="C1718" s="31" t="s">
        <v>2119</v>
      </c>
      <c r="D1718" s="26" t="s">
        <v>2120</v>
      </c>
      <c r="E1718" s="16" t="s">
        <v>12</v>
      </c>
      <c r="F1718" s="23">
        <v>20.6</v>
      </c>
      <c r="G1718" s="23">
        <v>20.6</v>
      </c>
      <c r="H1718" s="24">
        <v>0</v>
      </c>
      <c r="I1718" s="24">
        <v>0</v>
      </c>
      <c r="J1718" s="24">
        <v>0</v>
      </c>
      <c r="K1718" s="35">
        <v>44743</v>
      </c>
    </row>
    <row r="1719" spans="1:11" s="51" customFormat="1" ht="40.200000000000003" customHeight="1" x14ac:dyDescent="0.25">
      <c r="A1719" s="22">
        <v>1416</v>
      </c>
      <c r="B1719" s="238"/>
      <c r="C1719" s="30" t="s">
        <v>2121</v>
      </c>
      <c r="D1719" s="26" t="s">
        <v>2122</v>
      </c>
      <c r="E1719" s="16" t="s">
        <v>12</v>
      </c>
      <c r="F1719" s="23">
        <v>1421.0383999999999</v>
      </c>
      <c r="G1719" s="23">
        <v>1421.0383999999999</v>
      </c>
      <c r="H1719" s="24">
        <v>0</v>
      </c>
      <c r="I1719" s="24">
        <v>0</v>
      </c>
      <c r="J1719" s="24">
        <v>0</v>
      </c>
      <c r="K1719" s="77">
        <v>44621</v>
      </c>
    </row>
    <row r="1720" spans="1:11" s="51" customFormat="1" ht="37.200000000000003" customHeight="1" x14ac:dyDescent="0.25">
      <c r="A1720" s="22">
        <v>1417</v>
      </c>
      <c r="B1720" s="238"/>
      <c r="C1720" s="30" t="s">
        <v>2123</v>
      </c>
      <c r="D1720" s="26" t="s">
        <v>2124</v>
      </c>
      <c r="E1720" s="16" t="s">
        <v>12</v>
      </c>
      <c r="F1720" s="23">
        <v>64.805000000000007</v>
      </c>
      <c r="G1720" s="23">
        <v>64.805000000000007</v>
      </c>
      <c r="H1720" s="24">
        <v>0</v>
      </c>
      <c r="I1720" s="24">
        <v>0</v>
      </c>
      <c r="J1720" s="24">
        <v>0</v>
      </c>
      <c r="K1720" s="36">
        <v>44958</v>
      </c>
    </row>
    <row r="1721" spans="1:11" s="51" customFormat="1" ht="27.6" x14ac:dyDescent="0.25">
      <c r="A1721" s="22">
        <v>1418</v>
      </c>
      <c r="B1721" s="238"/>
      <c r="C1721" s="30" t="s">
        <v>2125</v>
      </c>
      <c r="D1721" s="26" t="s">
        <v>2124</v>
      </c>
      <c r="E1721" s="16" t="s">
        <v>12</v>
      </c>
      <c r="F1721" s="23">
        <v>56.035240000000002</v>
      </c>
      <c r="G1721" s="23">
        <v>56.035240000000002</v>
      </c>
      <c r="H1721" s="24">
        <v>0</v>
      </c>
      <c r="I1721" s="24">
        <v>0</v>
      </c>
      <c r="J1721" s="24">
        <v>0</v>
      </c>
      <c r="K1721" s="77">
        <v>44621</v>
      </c>
    </row>
    <row r="1722" spans="1:11" s="51" customFormat="1" ht="37.799999999999997" customHeight="1" x14ac:dyDescent="0.25">
      <c r="A1722" s="22">
        <v>1419</v>
      </c>
      <c r="B1722" s="238"/>
      <c r="C1722" s="30" t="s">
        <v>2126</v>
      </c>
      <c r="D1722" s="26" t="s">
        <v>2127</v>
      </c>
      <c r="E1722" s="16" t="s">
        <v>12</v>
      </c>
      <c r="F1722" s="23">
        <v>400</v>
      </c>
      <c r="G1722" s="23">
        <v>400</v>
      </c>
      <c r="H1722" s="24">
        <v>0</v>
      </c>
      <c r="I1722" s="24">
        <v>0</v>
      </c>
      <c r="J1722" s="24">
        <v>0</v>
      </c>
      <c r="K1722" s="77">
        <v>44621</v>
      </c>
    </row>
    <row r="1723" spans="1:11" s="51" customFormat="1" ht="33" customHeight="1" x14ac:dyDescent="0.25">
      <c r="A1723" s="22">
        <v>1420</v>
      </c>
      <c r="B1723" s="238"/>
      <c r="C1723" s="30" t="s">
        <v>2128</v>
      </c>
      <c r="D1723" s="26" t="s">
        <v>2129</v>
      </c>
      <c r="E1723" s="16" t="s">
        <v>12</v>
      </c>
      <c r="F1723" s="23">
        <v>71.400000000000006</v>
      </c>
      <c r="G1723" s="23">
        <v>71.400000000000006</v>
      </c>
      <c r="H1723" s="24">
        <v>0</v>
      </c>
      <c r="I1723" s="24">
        <v>0</v>
      </c>
      <c r="J1723" s="24">
        <v>0</v>
      </c>
      <c r="K1723" s="77">
        <v>44621</v>
      </c>
    </row>
    <row r="1724" spans="1:11" s="51" customFormat="1" ht="96.6" customHeight="1" x14ac:dyDescent="0.25">
      <c r="A1724" s="22">
        <v>1421</v>
      </c>
      <c r="B1724" s="238"/>
      <c r="C1724" s="30" t="s">
        <v>2130</v>
      </c>
      <c r="D1724" s="26" t="s">
        <v>2131</v>
      </c>
      <c r="E1724" s="16" t="s">
        <v>12</v>
      </c>
      <c r="F1724" s="23">
        <v>226.2</v>
      </c>
      <c r="G1724" s="23">
        <v>226.2</v>
      </c>
      <c r="H1724" s="24">
        <v>0</v>
      </c>
      <c r="I1724" s="24">
        <v>0</v>
      </c>
      <c r="J1724" s="24">
        <v>0</v>
      </c>
      <c r="K1724" s="77">
        <v>44621</v>
      </c>
    </row>
    <row r="1725" spans="1:11" s="51" customFormat="1" ht="45.6" customHeight="1" x14ac:dyDescent="0.25">
      <c r="A1725" s="22">
        <v>1422</v>
      </c>
      <c r="B1725" s="238"/>
      <c r="C1725" s="25" t="s">
        <v>2132</v>
      </c>
      <c r="D1725" s="136" t="s">
        <v>2133</v>
      </c>
      <c r="E1725" s="16" t="s">
        <v>12</v>
      </c>
      <c r="F1725" s="24">
        <v>240.91</v>
      </c>
      <c r="G1725" s="24">
        <v>240.91</v>
      </c>
      <c r="H1725" s="24">
        <v>0</v>
      </c>
      <c r="I1725" s="24">
        <v>0</v>
      </c>
      <c r="J1725" s="24">
        <v>0</v>
      </c>
      <c r="K1725" s="77">
        <v>44621</v>
      </c>
    </row>
    <row r="1726" spans="1:11" s="51" customFormat="1" ht="24.6" customHeight="1" x14ac:dyDescent="0.25">
      <c r="A1726" s="245" t="s">
        <v>2134</v>
      </c>
      <c r="B1726" s="245"/>
      <c r="C1726" s="245"/>
      <c r="D1726" s="245"/>
      <c r="E1726" s="245"/>
      <c r="F1726" s="151">
        <f>SUM(F1717:F1725)</f>
        <v>2659.1386399999997</v>
      </c>
      <c r="G1726" s="151">
        <f t="shared" ref="G1726:J1726" si="108">SUM(G1717:G1725)</f>
        <v>2659.1386399999997</v>
      </c>
      <c r="H1726" s="151">
        <f t="shared" si="108"/>
        <v>0</v>
      </c>
      <c r="I1726" s="151">
        <f t="shared" si="108"/>
        <v>0</v>
      </c>
      <c r="J1726" s="151">
        <f t="shared" si="108"/>
        <v>0</v>
      </c>
      <c r="K1726" s="36"/>
    </row>
    <row r="1727" spans="1:11" s="51" customFormat="1" ht="51.6" customHeight="1" x14ac:dyDescent="0.25">
      <c r="A1727" s="22">
        <v>1423</v>
      </c>
      <c r="B1727" s="197" t="s">
        <v>2116</v>
      </c>
      <c r="C1727" s="16" t="s">
        <v>2135</v>
      </c>
      <c r="D1727" s="16" t="s">
        <v>2136</v>
      </c>
      <c r="E1727" s="16" t="s">
        <v>12</v>
      </c>
      <c r="F1727" s="23">
        <v>993.08699999999999</v>
      </c>
      <c r="G1727" s="23">
        <v>0</v>
      </c>
      <c r="H1727" s="24">
        <v>993.08711000000005</v>
      </c>
      <c r="I1727" s="24">
        <v>0</v>
      </c>
      <c r="J1727" s="24">
        <v>0</v>
      </c>
      <c r="K1727" s="77">
        <v>44866</v>
      </c>
    </row>
    <row r="1728" spans="1:11" s="51" customFormat="1" ht="38.4" customHeight="1" x14ac:dyDescent="0.25">
      <c r="A1728" s="22">
        <v>1424</v>
      </c>
      <c r="B1728" s="231"/>
      <c r="C1728" s="30" t="s">
        <v>2121</v>
      </c>
      <c r="D1728" s="26" t="s">
        <v>2122</v>
      </c>
      <c r="E1728" s="16" t="s">
        <v>12</v>
      </c>
      <c r="F1728" s="24">
        <v>169.19557</v>
      </c>
      <c r="G1728" s="23">
        <v>0</v>
      </c>
      <c r="H1728" s="24">
        <v>169.19557</v>
      </c>
      <c r="I1728" s="24">
        <v>0</v>
      </c>
      <c r="J1728" s="24">
        <v>0</v>
      </c>
      <c r="K1728" s="77">
        <v>44621</v>
      </c>
    </row>
    <row r="1729" spans="1:11" s="51" customFormat="1" ht="57" customHeight="1" x14ac:dyDescent="0.25">
      <c r="A1729" s="22">
        <v>1425</v>
      </c>
      <c r="B1729" s="231"/>
      <c r="C1729" s="31" t="s">
        <v>2119</v>
      </c>
      <c r="D1729" s="26" t="s">
        <v>2120</v>
      </c>
      <c r="E1729" s="16" t="s">
        <v>12</v>
      </c>
      <c r="F1729" s="24">
        <v>20.667000000000002</v>
      </c>
      <c r="G1729" s="23">
        <v>0</v>
      </c>
      <c r="H1729" s="24">
        <v>20.667000000000002</v>
      </c>
      <c r="I1729" s="24">
        <v>0</v>
      </c>
      <c r="J1729" s="24">
        <v>0</v>
      </c>
      <c r="K1729" s="35">
        <v>44743</v>
      </c>
    </row>
    <row r="1730" spans="1:11" s="51" customFormat="1" ht="112.8" customHeight="1" x14ac:dyDescent="0.25">
      <c r="A1730" s="22">
        <v>1426</v>
      </c>
      <c r="B1730" s="231"/>
      <c r="C1730" s="30" t="s">
        <v>2137</v>
      </c>
      <c r="D1730" s="26" t="s">
        <v>2138</v>
      </c>
      <c r="E1730" s="16" t="s">
        <v>12</v>
      </c>
      <c r="F1730" s="23">
        <v>1648.8380099999999</v>
      </c>
      <c r="G1730" s="23">
        <v>0</v>
      </c>
      <c r="H1730" s="24">
        <v>1648.8380099999999</v>
      </c>
      <c r="I1730" s="24">
        <v>0</v>
      </c>
      <c r="J1730" s="24">
        <v>0</v>
      </c>
      <c r="K1730" s="77">
        <v>44835</v>
      </c>
    </row>
    <row r="1731" spans="1:11" s="51" customFormat="1" ht="54.6" customHeight="1" x14ac:dyDescent="0.25">
      <c r="A1731" s="22">
        <v>1427</v>
      </c>
      <c r="B1731" s="231"/>
      <c r="C1731" s="30" t="s">
        <v>2139</v>
      </c>
      <c r="D1731" s="26" t="s">
        <v>2140</v>
      </c>
      <c r="E1731" s="16" t="s">
        <v>12</v>
      </c>
      <c r="F1731" s="23">
        <v>925.93656999999996</v>
      </c>
      <c r="G1731" s="23">
        <v>0</v>
      </c>
      <c r="H1731" s="24">
        <v>925.93656999999996</v>
      </c>
      <c r="I1731" s="24">
        <v>0</v>
      </c>
      <c r="J1731" s="24">
        <v>0</v>
      </c>
      <c r="K1731" s="77">
        <v>44866</v>
      </c>
    </row>
    <row r="1732" spans="1:11" s="51" customFormat="1" ht="66" x14ac:dyDescent="0.25">
      <c r="A1732" s="22">
        <v>1428</v>
      </c>
      <c r="B1732" s="231"/>
      <c r="C1732" s="30" t="s">
        <v>2141</v>
      </c>
      <c r="D1732" s="26" t="s">
        <v>2142</v>
      </c>
      <c r="E1732" s="16" t="s">
        <v>12</v>
      </c>
      <c r="F1732" s="23">
        <v>549.78</v>
      </c>
      <c r="G1732" s="23">
        <v>0</v>
      </c>
      <c r="H1732" s="24">
        <v>549.78</v>
      </c>
      <c r="I1732" s="24">
        <v>0</v>
      </c>
      <c r="J1732" s="24">
        <v>0</v>
      </c>
      <c r="K1732" s="77">
        <v>44866</v>
      </c>
    </row>
    <row r="1733" spans="1:11" s="51" customFormat="1" ht="75.599999999999994" customHeight="1" x14ac:dyDescent="0.25">
      <c r="A1733" s="22">
        <v>1429</v>
      </c>
      <c r="B1733" s="231"/>
      <c r="C1733" s="30" t="s">
        <v>2143</v>
      </c>
      <c r="D1733" s="26" t="s">
        <v>2144</v>
      </c>
      <c r="E1733" s="16" t="s">
        <v>12</v>
      </c>
      <c r="F1733" s="23">
        <v>168.35336000000001</v>
      </c>
      <c r="G1733" s="23">
        <v>0</v>
      </c>
      <c r="H1733" s="24">
        <v>168.35336000000001</v>
      </c>
      <c r="I1733" s="24">
        <v>0</v>
      </c>
      <c r="J1733" s="24">
        <v>0</v>
      </c>
      <c r="K1733" s="77">
        <v>44866</v>
      </c>
    </row>
    <row r="1734" spans="1:11" s="51" customFormat="1" ht="42" customHeight="1" x14ac:dyDescent="0.25">
      <c r="A1734" s="22">
        <v>1430</v>
      </c>
      <c r="B1734" s="231"/>
      <c r="C1734" s="30" t="s">
        <v>2145</v>
      </c>
      <c r="D1734" s="26" t="s">
        <v>2146</v>
      </c>
      <c r="E1734" s="16" t="s">
        <v>12</v>
      </c>
      <c r="F1734" s="23">
        <v>367.74391000000003</v>
      </c>
      <c r="G1734" s="23">
        <v>0</v>
      </c>
      <c r="H1734" s="24">
        <v>367.74391000000003</v>
      </c>
      <c r="I1734" s="24">
        <v>0</v>
      </c>
      <c r="J1734" s="24">
        <v>0</v>
      </c>
      <c r="K1734" s="77">
        <v>44866</v>
      </c>
    </row>
    <row r="1735" spans="1:11" s="51" customFormat="1" ht="74.400000000000006" customHeight="1" x14ac:dyDescent="0.25">
      <c r="A1735" s="22">
        <v>1431</v>
      </c>
      <c r="B1735" s="231"/>
      <c r="C1735" s="30" t="s">
        <v>2147</v>
      </c>
      <c r="D1735" s="26" t="s">
        <v>2148</v>
      </c>
      <c r="E1735" s="16" t="s">
        <v>12</v>
      </c>
      <c r="F1735" s="23">
        <v>38.356969999999997</v>
      </c>
      <c r="G1735" s="23">
        <v>0</v>
      </c>
      <c r="H1735" s="24">
        <v>38.356969999999997</v>
      </c>
      <c r="I1735" s="24">
        <v>0</v>
      </c>
      <c r="J1735" s="24">
        <v>0</v>
      </c>
      <c r="K1735" s="77">
        <v>44866</v>
      </c>
    </row>
    <row r="1736" spans="1:11" s="51" customFormat="1" ht="84.6" customHeight="1" x14ac:dyDescent="0.25">
      <c r="A1736" s="22">
        <v>1432</v>
      </c>
      <c r="B1736" s="231"/>
      <c r="C1736" s="30" t="s">
        <v>2149</v>
      </c>
      <c r="D1736" s="26" t="s">
        <v>2150</v>
      </c>
      <c r="E1736" s="16" t="s">
        <v>12</v>
      </c>
      <c r="F1736" s="23">
        <v>32.19</v>
      </c>
      <c r="G1736" s="23">
        <v>0</v>
      </c>
      <c r="H1736" s="24">
        <v>32.19</v>
      </c>
      <c r="I1736" s="24">
        <v>0</v>
      </c>
      <c r="J1736" s="24">
        <v>0</v>
      </c>
      <c r="K1736" s="77">
        <v>44866</v>
      </c>
    </row>
    <row r="1737" spans="1:11" s="51" customFormat="1" ht="79.2" x14ac:dyDescent="0.25">
      <c r="A1737" s="22">
        <v>1433</v>
      </c>
      <c r="B1737" s="231"/>
      <c r="C1737" s="30" t="s">
        <v>2151</v>
      </c>
      <c r="D1737" s="136" t="s">
        <v>2152</v>
      </c>
      <c r="E1737" s="16" t="s">
        <v>12</v>
      </c>
      <c r="F1737" s="144">
        <v>428.56099999999998</v>
      </c>
      <c r="G1737" s="144">
        <v>0</v>
      </c>
      <c r="H1737" s="24">
        <v>428.56099999999998</v>
      </c>
      <c r="I1737" s="24">
        <v>0</v>
      </c>
      <c r="J1737" s="24">
        <v>0</v>
      </c>
      <c r="K1737" s="77">
        <v>44866</v>
      </c>
    </row>
    <row r="1738" spans="1:11" s="51" customFormat="1" ht="27.6" x14ac:dyDescent="0.25">
      <c r="A1738" s="22">
        <v>1434</v>
      </c>
      <c r="B1738" s="231"/>
      <c r="C1738" s="30" t="s">
        <v>2153</v>
      </c>
      <c r="D1738" s="136" t="s">
        <v>2154</v>
      </c>
      <c r="E1738" s="16" t="s">
        <v>12</v>
      </c>
      <c r="F1738" s="144">
        <v>271.89999999999998</v>
      </c>
      <c r="G1738" s="144">
        <v>0</v>
      </c>
      <c r="H1738" s="24">
        <v>271.89999999999998</v>
      </c>
      <c r="I1738" s="24">
        <v>0</v>
      </c>
      <c r="J1738" s="24">
        <v>0</v>
      </c>
      <c r="K1738" s="77">
        <v>44866</v>
      </c>
    </row>
    <row r="1739" spans="1:11" s="51" customFormat="1" ht="81.599999999999994" customHeight="1" x14ac:dyDescent="0.25">
      <c r="A1739" s="22">
        <v>1435</v>
      </c>
      <c r="B1739" s="231"/>
      <c r="C1739" s="30" t="s">
        <v>2155</v>
      </c>
      <c r="D1739" s="136" t="s">
        <v>2156</v>
      </c>
      <c r="E1739" s="16" t="s">
        <v>12</v>
      </c>
      <c r="F1739" s="144">
        <v>211.2</v>
      </c>
      <c r="G1739" s="144">
        <v>0</v>
      </c>
      <c r="H1739" s="24">
        <v>211.2</v>
      </c>
      <c r="I1739" s="24">
        <v>0</v>
      </c>
      <c r="J1739" s="24">
        <v>0</v>
      </c>
      <c r="K1739" s="77">
        <v>44866</v>
      </c>
    </row>
    <row r="1740" spans="1:11" s="51" customFormat="1" ht="40.799999999999997" customHeight="1" x14ac:dyDescent="0.25">
      <c r="A1740" s="22">
        <v>1436</v>
      </c>
      <c r="B1740" s="231"/>
      <c r="C1740" s="30" t="s">
        <v>2157</v>
      </c>
      <c r="D1740" s="136" t="s">
        <v>2158</v>
      </c>
      <c r="E1740" s="16" t="s">
        <v>12</v>
      </c>
      <c r="F1740" s="144">
        <v>2191.9672300000002</v>
      </c>
      <c r="G1740" s="144">
        <v>0</v>
      </c>
      <c r="H1740" s="24">
        <v>2191.9672300000002</v>
      </c>
      <c r="I1740" s="24">
        <v>0</v>
      </c>
      <c r="J1740" s="24">
        <v>0</v>
      </c>
      <c r="K1740" s="77">
        <v>44866</v>
      </c>
    </row>
    <row r="1741" spans="1:11" s="51" customFormat="1" ht="43.8" customHeight="1" x14ac:dyDescent="0.25">
      <c r="A1741" s="22">
        <v>1437</v>
      </c>
      <c r="B1741" s="231"/>
      <c r="C1741" s="30" t="s">
        <v>2123</v>
      </c>
      <c r="D1741" s="26" t="s">
        <v>2124</v>
      </c>
      <c r="E1741" s="16" t="s">
        <v>12</v>
      </c>
      <c r="F1741" s="24">
        <v>46.15</v>
      </c>
      <c r="G1741" s="23">
        <v>0</v>
      </c>
      <c r="H1741" s="24">
        <v>46.15</v>
      </c>
      <c r="I1741" s="24">
        <v>0</v>
      </c>
      <c r="J1741" s="24">
        <v>0</v>
      </c>
      <c r="K1741" s="36">
        <v>44958</v>
      </c>
    </row>
    <row r="1742" spans="1:11" s="51" customFormat="1" ht="45" customHeight="1" x14ac:dyDescent="0.25">
      <c r="A1742" s="22">
        <v>1438</v>
      </c>
      <c r="B1742" s="231"/>
      <c r="C1742" s="30" t="s">
        <v>2125</v>
      </c>
      <c r="D1742" s="26" t="s">
        <v>2124</v>
      </c>
      <c r="E1742" s="16" t="s">
        <v>12</v>
      </c>
      <c r="F1742" s="24">
        <v>87.375</v>
      </c>
      <c r="G1742" s="23">
        <v>0</v>
      </c>
      <c r="H1742" s="24">
        <v>87.375</v>
      </c>
      <c r="I1742" s="24">
        <v>0</v>
      </c>
      <c r="J1742" s="24">
        <v>0</v>
      </c>
      <c r="K1742" s="36">
        <v>44958</v>
      </c>
    </row>
    <row r="1743" spans="1:11" s="51" customFormat="1" ht="98.4" customHeight="1" x14ac:dyDescent="0.25">
      <c r="A1743" s="22">
        <v>1439</v>
      </c>
      <c r="B1743" s="231"/>
      <c r="C1743" s="30" t="s">
        <v>2130</v>
      </c>
      <c r="D1743" s="26" t="s">
        <v>2131</v>
      </c>
      <c r="E1743" s="16" t="s">
        <v>12</v>
      </c>
      <c r="F1743" s="23">
        <v>226.2</v>
      </c>
      <c r="G1743" s="23">
        <v>0</v>
      </c>
      <c r="H1743" s="24">
        <v>226.2</v>
      </c>
      <c r="I1743" s="24">
        <v>0</v>
      </c>
      <c r="J1743" s="24">
        <v>0</v>
      </c>
      <c r="K1743" s="77">
        <v>44986</v>
      </c>
    </row>
    <row r="1744" spans="1:11" s="51" customFormat="1" ht="27.6" customHeight="1" x14ac:dyDescent="0.25">
      <c r="A1744" s="245" t="s">
        <v>2159</v>
      </c>
      <c r="B1744" s="245"/>
      <c r="C1744" s="245"/>
      <c r="D1744" s="245"/>
      <c r="E1744" s="245"/>
      <c r="F1744" s="151">
        <f>SUM(F1727:F1743)</f>
        <v>8377.5016199999991</v>
      </c>
      <c r="G1744" s="151">
        <f t="shared" ref="G1744:J1744" si="109">SUM(G1727:G1743)</f>
        <v>0</v>
      </c>
      <c r="H1744" s="151">
        <f t="shared" si="109"/>
        <v>8377.5017299999981</v>
      </c>
      <c r="I1744" s="151">
        <f t="shared" si="109"/>
        <v>0</v>
      </c>
      <c r="J1744" s="151">
        <f t="shared" si="109"/>
        <v>0</v>
      </c>
      <c r="K1744" s="36"/>
    </row>
    <row r="1745" spans="1:11" s="51" customFormat="1" ht="48.6" customHeight="1" x14ac:dyDescent="0.25">
      <c r="A1745" s="22">
        <v>1440</v>
      </c>
      <c r="B1745" s="197" t="s">
        <v>2116</v>
      </c>
      <c r="C1745" s="16" t="s">
        <v>2135</v>
      </c>
      <c r="D1745" s="16" t="s">
        <v>2136</v>
      </c>
      <c r="E1745" s="16" t="s">
        <v>12</v>
      </c>
      <c r="F1745" s="24">
        <v>943.72412999999995</v>
      </c>
      <c r="G1745" s="23">
        <v>0</v>
      </c>
      <c r="H1745" s="24">
        <v>0</v>
      </c>
      <c r="I1745" s="24">
        <v>943.72412999999995</v>
      </c>
      <c r="J1745" s="24">
        <v>0</v>
      </c>
      <c r="K1745" s="77">
        <v>45231</v>
      </c>
    </row>
    <row r="1746" spans="1:11" s="51" customFormat="1" ht="43.8" customHeight="1" x14ac:dyDescent="0.25">
      <c r="A1746" s="22">
        <v>1441</v>
      </c>
      <c r="B1746" s="197"/>
      <c r="C1746" s="30" t="s">
        <v>2121</v>
      </c>
      <c r="D1746" s="26" t="s">
        <v>2122</v>
      </c>
      <c r="E1746" s="16" t="s">
        <v>12</v>
      </c>
      <c r="F1746" s="24">
        <v>169.19557</v>
      </c>
      <c r="G1746" s="23">
        <v>0</v>
      </c>
      <c r="H1746" s="24">
        <v>0</v>
      </c>
      <c r="I1746" s="24">
        <v>169.19557</v>
      </c>
      <c r="J1746" s="24">
        <v>0</v>
      </c>
      <c r="K1746" s="77">
        <v>45231</v>
      </c>
    </row>
    <row r="1747" spans="1:11" s="51" customFormat="1" ht="57" customHeight="1" x14ac:dyDescent="0.25">
      <c r="A1747" s="22">
        <v>1442</v>
      </c>
      <c r="B1747" s="197"/>
      <c r="C1747" s="31" t="s">
        <v>2119</v>
      </c>
      <c r="D1747" s="26" t="s">
        <v>2120</v>
      </c>
      <c r="E1747" s="16" t="s">
        <v>12</v>
      </c>
      <c r="F1747" s="24">
        <v>20.667000000000002</v>
      </c>
      <c r="G1747" s="23">
        <v>0</v>
      </c>
      <c r="H1747" s="24">
        <v>0</v>
      </c>
      <c r="I1747" s="24">
        <v>20.667000000000002</v>
      </c>
      <c r="J1747" s="24">
        <v>0</v>
      </c>
      <c r="K1747" s="77">
        <v>45231</v>
      </c>
    </row>
    <row r="1748" spans="1:11" s="51" customFormat="1" ht="116.4" customHeight="1" x14ac:dyDescent="0.25">
      <c r="A1748" s="22">
        <v>1443</v>
      </c>
      <c r="B1748" s="197"/>
      <c r="C1748" s="30" t="s">
        <v>2137</v>
      </c>
      <c r="D1748" s="26" t="s">
        <v>2138</v>
      </c>
      <c r="E1748" s="16" t="s">
        <v>12</v>
      </c>
      <c r="F1748" s="24">
        <v>1813.31593</v>
      </c>
      <c r="G1748" s="23">
        <v>0</v>
      </c>
      <c r="H1748" s="24">
        <v>0</v>
      </c>
      <c r="I1748" s="24">
        <v>1813.31593</v>
      </c>
      <c r="J1748" s="24">
        <v>0</v>
      </c>
      <c r="K1748" s="77">
        <v>45231</v>
      </c>
    </row>
    <row r="1749" spans="1:11" s="51" customFormat="1" ht="48.6" customHeight="1" x14ac:dyDescent="0.25">
      <c r="A1749" s="22">
        <v>1444</v>
      </c>
      <c r="B1749" s="197"/>
      <c r="C1749" s="30" t="s">
        <v>2139</v>
      </c>
      <c r="D1749" s="26" t="s">
        <v>2140</v>
      </c>
      <c r="E1749" s="16" t="s">
        <v>12</v>
      </c>
      <c r="F1749" s="24">
        <v>1030.94155</v>
      </c>
      <c r="G1749" s="23">
        <v>0</v>
      </c>
      <c r="H1749" s="24">
        <v>0</v>
      </c>
      <c r="I1749" s="24">
        <v>1030.94155</v>
      </c>
      <c r="J1749" s="24">
        <v>0</v>
      </c>
      <c r="K1749" s="77">
        <v>45231</v>
      </c>
    </row>
    <row r="1750" spans="1:11" s="51" customFormat="1" ht="66" x14ac:dyDescent="0.25">
      <c r="A1750" s="22">
        <v>1445</v>
      </c>
      <c r="B1750" s="197"/>
      <c r="C1750" s="30" t="s">
        <v>2141</v>
      </c>
      <c r="D1750" s="26" t="s">
        <v>2142</v>
      </c>
      <c r="E1750" s="16" t="s">
        <v>12</v>
      </c>
      <c r="F1750" s="24">
        <v>564.29999999999995</v>
      </c>
      <c r="G1750" s="23">
        <v>0</v>
      </c>
      <c r="H1750" s="24">
        <v>0</v>
      </c>
      <c r="I1750" s="24">
        <v>564.29999999999995</v>
      </c>
      <c r="J1750" s="24">
        <v>0</v>
      </c>
      <c r="K1750" s="77">
        <v>45231</v>
      </c>
    </row>
    <row r="1751" spans="1:11" s="51" customFormat="1" ht="81" customHeight="1" x14ac:dyDescent="0.25">
      <c r="A1751" s="22">
        <v>1446</v>
      </c>
      <c r="B1751" s="197"/>
      <c r="C1751" s="30" t="s">
        <v>2143</v>
      </c>
      <c r="D1751" s="26" t="s">
        <v>2144</v>
      </c>
      <c r="E1751" s="16" t="s">
        <v>12</v>
      </c>
      <c r="F1751" s="23">
        <v>168.35336000000001</v>
      </c>
      <c r="G1751" s="23">
        <v>0</v>
      </c>
      <c r="H1751" s="24">
        <v>0</v>
      </c>
      <c r="I1751" s="24">
        <v>168.35336000000001</v>
      </c>
      <c r="J1751" s="24">
        <v>0</v>
      </c>
      <c r="K1751" s="77">
        <v>45231</v>
      </c>
    </row>
    <row r="1752" spans="1:11" s="51" customFormat="1" ht="48" customHeight="1" x14ac:dyDescent="0.25">
      <c r="A1752" s="22">
        <v>1447</v>
      </c>
      <c r="B1752" s="197"/>
      <c r="C1752" s="30" t="s">
        <v>2145</v>
      </c>
      <c r="D1752" s="26" t="s">
        <v>2146</v>
      </c>
      <c r="E1752" s="16" t="s">
        <v>12</v>
      </c>
      <c r="F1752" s="24">
        <v>368.83219000000003</v>
      </c>
      <c r="G1752" s="23">
        <v>0</v>
      </c>
      <c r="H1752" s="24">
        <v>0</v>
      </c>
      <c r="I1752" s="24">
        <v>368.83219000000003</v>
      </c>
      <c r="J1752" s="24">
        <v>0</v>
      </c>
      <c r="K1752" s="77">
        <v>45231</v>
      </c>
    </row>
    <row r="1753" spans="1:11" s="51" customFormat="1" ht="67.8" customHeight="1" x14ac:dyDescent="0.25">
      <c r="A1753" s="22">
        <v>1448</v>
      </c>
      <c r="B1753" s="197"/>
      <c r="C1753" s="30" t="s">
        <v>2147</v>
      </c>
      <c r="D1753" s="26" t="s">
        <v>2148</v>
      </c>
      <c r="E1753" s="16" t="s">
        <v>12</v>
      </c>
      <c r="F1753" s="23">
        <v>38.356969999999997</v>
      </c>
      <c r="G1753" s="23">
        <v>0</v>
      </c>
      <c r="H1753" s="24">
        <v>0</v>
      </c>
      <c r="I1753" s="24">
        <v>38.356969999999997</v>
      </c>
      <c r="J1753" s="24">
        <v>0</v>
      </c>
      <c r="K1753" s="77">
        <v>45231</v>
      </c>
    </row>
    <row r="1754" spans="1:11" s="51" customFormat="1" ht="90" customHeight="1" x14ac:dyDescent="0.25">
      <c r="A1754" s="22">
        <v>1449</v>
      </c>
      <c r="B1754" s="197"/>
      <c r="C1754" s="30" t="s">
        <v>2149</v>
      </c>
      <c r="D1754" s="26" t="s">
        <v>2150</v>
      </c>
      <c r="E1754" s="16" t="s">
        <v>12</v>
      </c>
      <c r="F1754" s="23">
        <v>32.19</v>
      </c>
      <c r="G1754" s="23">
        <v>0</v>
      </c>
      <c r="H1754" s="24">
        <v>0</v>
      </c>
      <c r="I1754" s="24">
        <v>32.19</v>
      </c>
      <c r="J1754" s="24">
        <v>0</v>
      </c>
      <c r="K1754" s="77">
        <v>45231</v>
      </c>
    </row>
    <row r="1755" spans="1:11" s="51" customFormat="1" ht="87.6" customHeight="1" x14ac:dyDescent="0.25">
      <c r="A1755" s="22">
        <v>1450</v>
      </c>
      <c r="B1755" s="197"/>
      <c r="C1755" s="30" t="s">
        <v>2151</v>
      </c>
      <c r="D1755" s="136" t="s">
        <v>2152</v>
      </c>
      <c r="E1755" s="16" t="s">
        <v>12</v>
      </c>
      <c r="F1755" s="144">
        <v>428.56099999999998</v>
      </c>
      <c r="G1755" s="144">
        <v>0</v>
      </c>
      <c r="H1755" s="24">
        <v>0</v>
      </c>
      <c r="I1755" s="24">
        <v>428.56099999999998</v>
      </c>
      <c r="J1755" s="24">
        <v>0</v>
      </c>
      <c r="K1755" s="77">
        <v>45231</v>
      </c>
    </row>
    <row r="1756" spans="1:11" s="51" customFormat="1" ht="43.8" customHeight="1" x14ac:dyDescent="0.25">
      <c r="A1756" s="22">
        <v>1451</v>
      </c>
      <c r="B1756" s="197"/>
      <c r="C1756" s="30" t="s">
        <v>2153</v>
      </c>
      <c r="D1756" s="136" t="s">
        <v>2154</v>
      </c>
      <c r="E1756" s="16" t="s">
        <v>12</v>
      </c>
      <c r="F1756" s="144">
        <v>271.89999999999998</v>
      </c>
      <c r="G1756" s="144">
        <v>0</v>
      </c>
      <c r="H1756" s="24">
        <v>0</v>
      </c>
      <c r="I1756" s="24">
        <v>271.89999999999998</v>
      </c>
      <c r="J1756" s="24">
        <v>0</v>
      </c>
      <c r="K1756" s="77">
        <v>45231</v>
      </c>
    </row>
    <row r="1757" spans="1:11" s="51" customFormat="1" ht="79.2" x14ac:dyDescent="0.25">
      <c r="A1757" s="22">
        <v>1452</v>
      </c>
      <c r="B1757" s="197"/>
      <c r="C1757" s="30" t="s">
        <v>2155</v>
      </c>
      <c r="D1757" s="136" t="s">
        <v>2156</v>
      </c>
      <c r="E1757" s="16" t="s">
        <v>12</v>
      </c>
      <c r="F1757" s="144">
        <v>211.2</v>
      </c>
      <c r="G1757" s="144">
        <v>0</v>
      </c>
      <c r="H1757" s="24">
        <v>0</v>
      </c>
      <c r="I1757" s="24">
        <v>211.2</v>
      </c>
      <c r="J1757" s="24">
        <v>0</v>
      </c>
      <c r="K1757" s="77">
        <v>45231</v>
      </c>
    </row>
    <row r="1758" spans="1:11" s="51" customFormat="1" ht="42" customHeight="1" x14ac:dyDescent="0.25">
      <c r="A1758" s="22">
        <v>1453</v>
      </c>
      <c r="B1758" s="197"/>
      <c r="C1758" s="30" t="s">
        <v>2157</v>
      </c>
      <c r="D1758" s="136" t="s">
        <v>2158</v>
      </c>
      <c r="E1758" s="16" t="s">
        <v>12</v>
      </c>
      <c r="F1758" s="144">
        <v>2191.9672300000002</v>
      </c>
      <c r="G1758" s="144">
        <v>0</v>
      </c>
      <c r="H1758" s="24">
        <v>0</v>
      </c>
      <c r="I1758" s="24">
        <v>2619.1668500000001</v>
      </c>
      <c r="J1758" s="24">
        <v>0</v>
      </c>
      <c r="K1758" s="77">
        <v>45231</v>
      </c>
    </row>
    <row r="1759" spans="1:11" s="51" customFormat="1" ht="36" customHeight="1" x14ac:dyDescent="0.25">
      <c r="A1759" s="22">
        <v>1454</v>
      </c>
      <c r="B1759" s="197"/>
      <c r="C1759" s="30" t="s">
        <v>2123</v>
      </c>
      <c r="D1759" s="26" t="s">
        <v>2124</v>
      </c>
      <c r="E1759" s="16" t="s">
        <v>12</v>
      </c>
      <c r="F1759" s="24">
        <v>46.15</v>
      </c>
      <c r="G1759" s="23">
        <v>0</v>
      </c>
      <c r="H1759" s="24">
        <v>0</v>
      </c>
      <c r="I1759" s="24">
        <v>46.15</v>
      </c>
      <c r="J1759" s="24">
        <v>0</v>
      </c>
      <c r="K1759" s="77">
        <v>45231</v>
      </c>
    </row>
    <row r="1760" spans="1:11" s="51" customFormat="1" ht="42" customHeight="1" x14ac:dyDescent="0.25">
      <c r="A1760" s="22">
        <v>1455</v>
      </c>
      <c r="B1760" s="197"/>
      <c r="C1760" s="30" t="s">
        <v>2125</v>
      </c>
      <c r="D1760" s="26" t="s">
        <v>2124</v>
      </c>
      <c r="E1760" s="16" t="s">
        <v>12</v>
      </c>
      <c r="F1760" s="24">
        <v>87.375</v>
      </c>
      <c r="G1760" s="23">
        <v>0</v>
      </c>
      <c r="H1760" s="24">
        <v>0</v>
      </c>
      <c r="I1760" s="24">
        <v>87.375</v>
      </c>
      <c r="J1760" s="24">
        <v>0</v>
      </c>
      <c r="K1760" s="77">
        <v>44986</v>
      </c>
    </row>
    <row r="1761" spans="1:11" s="51" customFormat="1" ht="92.4" x14ac:dyDescent="0.25">
      <c r="A1761" s="22">
        <v>1456</v>
      </c>
      <c r="B1761" s="197"/>
      <c r="C1761" s="30" t="s">
        <v>2130</v>
      </c>
      <c r="D1761" s="26" t="s">
        <v>2131</v>
      </c>
      <c r="E1761" s="16" t="s">
        <v>12</v>
      </c>
      <c r="F1761" s="23">
        <v>226.2</v>
      </c>
      <c r="G1761" s="23">
        <v>0</v>
      </c>
      <c r="H1761" s="24">
        <v>0</v>
      </c>
      <c r="I1761" s="24">
        <v>226.2</v>
      </c>
      <c r="J1761" s="24">
        <v>0</v>
      </c>
      <c r="K1761" s="77">
        <v>44986</v>
      </c>
    </row>
    <row r="1762" spans="1:11" s="51" customFormat="1" ht="27.6" customHeight="1" x14ac:dyDescent="0.25">
      <c r="A1762" s="245" t="s">
        <v>2160</v>
      </c>
      <c r="B1762" s="245"/>
      <c r="C1762" s="245"/>
      <c r="D1762" s="245"/>
      <c r="E1762" s="245"/>
      <c r="F1762" s="140">
        <f>SUM(F1745:F1761)</f>
        <v>8613.2299299999995</v>
      </c>
      <c r="G1762" s="140">
        <f t="shared" ref="G1762:J1762" si="110">SUM(G1745:G1761)</f>
        <v>0</v>
      </c>
      <c r="H1762" s="140">
        <f t="shared" si="110"/>
        <v>0</v>
      </c>
      <c r="I1762" s="140">
        <f t="shared" si="110"/>
        <v>9040.4295499999989</v>
      </c>
      <c r="J1762" s="140">
        <f t="shared" si="110"/>
        <v>0</v>
      </c>
      <c r="K1762" s="38"/>
    </row>
    <row r="1763" spans="1:11" s="51" customFormat="1" ht="84.6" customHeight="1" x14ac:dyDescent="0.25">
      <c r="A1763" s="22">
        <v>1457</v>
      </c>
      <c r="B1763" s="262" t="s">
        <v>3173</v>
      </c>
      <c r="C1763" s="25" t="s">
        <v>2161</v>
      </c>
      <c r="D1763" s="136" t="s">
        <v>2162</v>
      </c>
      <c r="E1763" s="136" t="s">
        <v>12</v>
      </c>
      <c r="F1763" s="24">
        <v>241.05428000000001</v>
      </c>
      <c r="G1763" s="24">
        <v>241.05428000000001</v>
      </c>
      <c r="H1763" s="24">
        <v>0</v>
      </c>
      <c r="I1763" s="24">
        <v>0</v>
      </c>
      <c r="J1763" s="24">
        <v>0</v>
      </c>
      <c r="K1763" s="36">
        <v>44652</v>
      </c>
    </row>
    <row r="1764" spans="1:11" s="51" customFormat="1" ht="84.6" customHeight="1" x14ac:dyDescent="0.25">
      <c r="A1764" s="22">
        <v>1458</v>
      </c>
      <c r="B1764" s="262"/>
      <c r="C1764" s="25" t="s">
        <v>2163</v>
      </c>
      <c r="D1764" s="136" t="s">
        <v>2164</v>
      </c>
      <c r="E1764" s="136" t="s">
        <v>12</v>
      </c>
      <c r="F1764" s="24">
        <v>869.55130999999994</v>
      </c>
      <c r="G1764" s="24">
        <v>869.55130999999994</v>
      </c>
      <c r="H1764" s="24">
        <v>0</v>
      </c>
      <c r="I1764" s="24">
        <v>0</v>
      </c>
      <c r="J1764" s="24">
        <v>0</v>
      </c>
      <c r="K1764" s="36">
        <v>44652</v>
      </c>
    </row>
    <row r="1765" spans="1:11" s="51" customFormat="1" ht="94.8" customHeight="1" x14ac:dyDescent="0.25">
      <c r="A1765" s="22">
        <v>1459</v>
      </c>
      <c r="B1765" s="262"/>
      <c r="C1765" s="25" t="s">
        <v>2165</v>
      </c>
      <c r="D1765" s="136" t="s">
        <v>2166</v>
      </c>
      <c r="E1765" s="136" t="s">
        <v>12</v>
      </c>
      <c r="F1765" s="24">
        <v>1833.5354400000001</v>
      </c>
      <c r="G1765" s="24">
        <v>1833.5354400000001</v>
      </c>
      <c r="H1765" s="24">
        <v>0</v>
      </c>
      <c r="I1765" s="24">
        <v>0</v>
      </c>
      <c r="J1765" s="24">
        <v>0</v>
      </c>
      <c r="K1765" s="36">
        <v>44652</v>
      </c>
    </row>
    <row r="1766" spans="1:11" s="51" customFormat="1" ht="83.4" customHeight="1" x14ac:dyDescent="0.25">
      <c r="A1766" s="22">
        <v>1460</v>
      </c>
      <c r="B1766" s="262"/>
      <c r="C1766" s="22" t="s">
        <v>2167</v>
      </c>
      <c r="D1766" s="136" t="s">
        <v>2168</v>
      </c>
      <c r="E1766" s="136" t="s">
        <v>12</v>
      </c>
      <c r="F1766" s="24">
        <v>1678.2408700000001</v>
      </c>
      <c r="G1766" s="24">
        <v>1678.2408700000001</v>
      </c>
      <c r="H1766" s="24">
        <v>0</v>
      </c>
      <c r="I1766" s="24">
        <v>0</v>
      </c>
      <c r="J1766" s="24">
        <v>0</v>
      </c>
      <c r="K1766" s="36">
        <v>44805</v>
      </c>
    </row>
    <row r="1767" spans="1:11" s="51" customFormat="1" ht="57.6" customHeight="1" x14ac:dyDescent="0.25">
      <c r="A1767" s="22">
        <v>1461</v>
      </c>
      <c r="B1767" s="262"/>
      <c r="C1767" s="25" t="s">
        <v>2169</v>
      </c>
      <c r="D1767" s="136" t="s">
        <v>2170</v>
      </c>
      <c r="E1767" s="136" t="s">
        <v>12</v>
      </c>
      <c r="F1767" s="24">
        <v>2294.9520900000002</v>
      </c>
      <c r="G1767" s="24">
        <v>2294.9520900000002</v>
      </c>
      <c r="H1767" s="24">
        <v>0</v>
      </c>
      <c r="I1767" s="24">
        <v>0</v>
      </c>
      <c r="J1767" s="24">
        <v>0</v>
      </c>
      <c r="K1767" s="36">
        <v>44713</v>
      </c>
    </row>
    <row r="1768" spans="1:11" s="51" customFormat="1" ht="79.2" customHeight="1" x14ac:dyDescent="0.25">
      <c r="A1768" s="22">
        <v>1462</v>
      </c>
      <c r="B1768" s="262"/>
      <c r="C1768" s="25" t="s">
        <v>2171</v>
      </c>
      <c r="D1768" s="136" t="s">
        <v>2172</v>
      </c>
      <c r="E1768" s="136" t="s">
        <v>12</v>
      </c>
      <c r="F1768" s="24">
        <v>2820.7660000000001</v>
      </c>
      <c r="G1768" s="24">
        <v>2820.7660000000001</v>
      </c>
      <c r="H1768" s="24">
        <v>0</v>
      </c>
      <c r="I1768" s="24">
        <v>0</v>
      </c>
      <c r="J1768" s="24">
        <v>0</v>
      </c>
      <c r="K1768" s="36">
        <v>44652</v>
      </c>
    </row>
    <row r="1769" spans="1:11" s="51" customFormat="1" ht="92.4" x14ac:dyDescent="0.25">
      <c r="A1769" s="22">
        <v>1463</v>
      </c>
      <c r="B1769" s="262"/>
      <c r="C1769" s="25" t="s">
        <v>2173</v>
      </c>
      <c r="D1769" s="136" t="s">
        <v>2174</v>
      </c>
      <c r="E1769" s="136" t="s">
        <v>12</v>
      </c>
      <c r="F1769" s="24">
        <v>3643.0830000000001</v>
      </c>
      <c r="G1769" s="24">
        <v>3643.0830000000001</v>
      </c>
      <c r="H1769" s="24">
        <v>0</v>
      </c>
      <c r="I1769" s="24">
        <v>0</v>
      </c>
      <c r="J1769" s="24">
        <v>0</v>
      </c>
      <c r="K1769" s="36">
        <v>44652</v>
      </c>
    </row>
    <row r="1770" spans="1:11" s="51" customFormat="1" ht="20.399999999999999" customHeight="1" x14ac:dyDescent="0.25">
      <c r="A1770" s="245" t="s">
        <v>2175</v>
      </c>
      <c r="B1770" s="245"/>
      <c r="C1770" s="245"/>
      <c r="D1770" s="245"/>
      <c r="E1770" s="245"/>
      <c r="F1770" s="151">
        <v>13381.182989999999</v>
      </c>
      <c r="G1770" s="151">
        <v>13381.182989999999</v>
      </c>
      <c r="H1770" s="151">
        <v>0</v>
      </c>
      <c r="I1770" s="151">
        <v>0</v>
      </c>
      <c r="J1770" s="151">
        <v>0</v>
      </c>
      <c r="K1770" s="38"/>
    </row>
    <row r="1771" spans="1:11" s="51" customFormat="1" ht="82.2" customHeight="1" x14ac:dyDescent="0.25">
      <c r="A1771" s="22">
        <v>1464</v>
      </c>
      <c r="B1771" s="262" t="s">
        <v>3173</v>
      </c>
      <c r="C1771" s="25" t="s">
        <v>2176</v>
      </c>
      <c r="D1771" s="136" t="s">
        <v>2162</v>
      </c>
      <c r="E1771" s="136" t="s">
        <v>12</v>
      </c>
      <c r="F1771" s="24">
        <v>241.05428000000001</v>
      </c>
      <c r="G1771" s="24">
        <v>0</v>
      </c>
      <c r="H1771" s="24">
        <v>241.05428000000001</v>
      </c>
      <c r="I1771" s="24">
        <v>0</v>
      </c>
      <c r="J1771" s="24">
        <v>0</v>
      </c>
      <c r="K1771" s="36">
        <v>44927</v>
      </c>
    </row>
    <row r="1772" spans="1:11" s="51" customFormat="1" ht="73.8" customHeight="1" x14ac:dyDescent="0.25">
      <c r="A1772" s="22">
        <v>1465</v>
      </c>
      <c r="B1772" s="262"/>
      <c r="C1772" s="25" t="s">
        <v>2177</v>
      </c>
      <c r="D1772" s="136" t="s">
        <v>2178</v>
      </c>
      <c r="E1772" s="136" t="s">
        <v>12</v>
      </c>
      <c r="F1772" s="24">
        <v>1588.1659999999999</v>
      </c>
      <c r="G1772" s="24">
        <v>0</v>
      </c>
      <c r="H1772" s="24">
        <v>1588.1659999999999</v>
      </c>
      <c r="I1772" s="24">
        <v>0</v>
      </c>
      <c r="J1772" s="24">
        <v>0</v>
      </c>
      <c r="K1772" s="36">
        <v>44927</v>
      </c>
    </row>
    <row r="1773" spans="1:11" s="51" customFormat="1" ht="80.400000000000006" customHeight="1" x14ac:dyDescent="0.25">
      <c r="A1773" s="22">
        <v>1466</v>
      </c>
      <c r="B1773" s="262"/>
      <c r="C1773" s="25" t="s">
        <v>2179</v>
      </c>
      <c r="D1773" s="136" t="s">
        <v>96</v>
      </c>
      <c r="E1773" s="136" t="s">
        <v>12</v>
      </c>
      <c r="F1773" s="24">
        <v>869.55130999999994</v>
      </c>
      <c r="G1773" s="24">
        <v>0</v>
      </c>
      <c r="H1773" s="24">
        <v>869.55130999999994</v>
      </c>
      <c r="I1773" s="24">
        <v>0</v>
      </c>
      <c r="J1773" s="24">
        <v>0</v>
      </c>
      <c r="K1773" s="36">
        <v>44927</v>
      </c>
    </row>
    <row r="1774" spans="1:11" s="51" customFormat="1" ht="66" customHeight="1" x14ac:dyDescent="0.25">
      <c r="A1774" s="22">
        <v>1467</v>
      </c>
      <c r="B1774" s="262"/>
      <c r="C1774" s="25" t="s">
        <v>2180</v>
      </c>
      <c r="D1774" s="136" t="s">
        <v>2181</v>
      </c>
      <c r="E1774" s="136" t="s">
        <v>12</v>
      </c>
      <c r="F1774" s="24">
        <v>5615.8440000000001</v>
      </c>
      <c r="G1774" s="24">
        <v>0</v>
      </c>
      <c r="H1774" s="24">
        <v>5615.8440000000001</v>
      </c>
      <c r="I1774" s="24">
        <v>0</v>
      </c>
      <c r="J1774" s="24">
        <v>0</v>
      </c>
      <c r="K1774" s="36">
        <v>44927</v>
      </c>
    </row>
    <row r="1775" spans="1:11" s="51" customFormat="1" ht="51" customHeight="1" x14ac:dyDescent="0.25">
      <c r="A1775" s="22">
        <v>1468</v>
      </c>
      <c r="B1775" s="262"/>
      <c r="C1775" s="25" t="s">
        <v>2182</v>
      </c>
      <c r="D1775" s="136" t="s">
        <v>2170</v>
      </c>
      <c r="E1775" s="136" t="s">
        <v>12</v>
      </c>
      <c r="F1775" s="66">
        <v>4060.9659999999999</v>
      </c>
      <c r="G1775" s="24">
        <v>0</v>
      </c>
      <c r="H1775" s="66">
        <v>4060.9659999999999</v>
      </c>
      <c r="I1775" s="24">
        <v>0</v>
      </c>
      <c r="J1775" s="24">
        <v>0</v>
      </c>
      <c r="K1775" s="36">
        <v>44958</v>
      </c>
    </row>
    <row r="1776" spans="1:11" s="51" customFormat="1" ht="31.2" customHeight="1" x14ac:dyDescent="0.25">
      <c r="A1776" s="245" t="s">
        <v>2183</v>
      </c>
      <c r="B1776" s="245"/>
      <c r="C1776" s="245"/>
      <c r="D1776" s="245"/>
      <c r="E1776" s="245"/>
      <c r="F1776" s="151">
        <v>12375.58159</v>
      </c>
      <c r="G1776" s="151">
        <v>0</v>
      </c>
      <c r="H1776" s="151">
        <v>12375.58159</v>
      </c>
      <c r="I1776" s="151">
        <v>0</v>
      </c>
      <c r="J1776" s="151">
        <v>0</v>
      </c>
      <c r="K1776" s="38"/>
    </row>
    <row r="1777" spans="1:11" s="51" customFormat="1" ht="79.8" customHeight="1" x14ac:dyDescent="0.25">
      <c r="A1777" s="22">
        <v>1469</v>
      </c>
      <c r="B1777" s="197" t="s">
        <v>3173</v>
      </c>
      <c r="C1777" s="25" t="s">
        <v>2184</v>
      </c>
      <c r="D1777" s="136" t="s">
        <v>2162</v>
      </c>
      <c r="E1777" s="136" t="s">
        <v>12</v>
      </c>
      <c r="F1777" s="24">
        <v>241.05428000000001</v>
      </c>
      <c r="G1777" s="24">
        <v>0</v>
      </c>
      <c r="H1777" s="24">
        <v>0</v>
      </c>
      <c r="I1777" s="24">
        <v>241.05428000000001</v>
      </c>
      <c r="J1777" s="24">
        <v>0</v>
      </c>
      <c r="K1777" s="36">
        <v>45292</v>
      </c>
    </row>
    <row r="1778" spans="1:11" s="51" customFormat="1" ht="73.8" customHeight="1" x14ac:dyDescent="0.25">
      <c r="A1778" s="22">
        <v>1470</v>
      </c>
      <c r="B1778" s="197"/>
      <c r="C1778" s="25" t="s">
        <v>2185</v>
      </c>
      <c r="D1778" s="136" t="s">
        <v>2178</v>
      </c>
      <c r="E1778" s="136" t="s">
        <v>12</v>
      </c>
      <c r="F1778" s="24">
        <v>1588.1659999999999</v>
      </c>
      <c r="G1778" s="24">
        <v>0</v>
      </c>
      <c r="H1778" s="24">
        <v>0</v>
      </c>
      <c r="I1778" s="24">
        <v>1588.1659999999999</v>
      </c>
      <c r="J1778" s="24">
        <v>0</v>
      </c>
      <c r="K1778" s="36">
        <v>45292</v>
      </c>
    </row>
    <row r="1779" spans="1:11" s="51" customFormat="1" ht="84" customHeight="1" x14ac:dyDescent="0.25">
      <c r="A1779" s="22">
        <v>1471</v>
      </c>
      <c r="B1779" s="197"/>
      <c r="C1779" s="25" t="s">
        <v>2186</v>
      </c>
      <c r="D1779" s="136" t="s">
        <v>96</v>
      </c>
      <c r="E1779" s="136" t="s">
        <v>12</v>
      </c>
      <c r="F1779" s="24">
        <v>869.55130999999994</v>
      </c>
      <c r="G1779" s="24">
        <v>0</v>
      </c>
      <c r="H1779" s="24">
        <v>0</v>
      </c>
      <c r="I1779" s="24">
        <v>869.55130999999994</v>
      </c>
      <c r="J1779" s="24">
        <v>0</v>
      </c>
      <c r="K1779" s="36">
        <v>45292</v>
      </c>
    </row>
    <row r="1780" spans="1:11" s="51" customFormat="1" ht="65.400000000000006" customHeight="1" x14ac:dyDescent="0.25">
      <c r="A1780" s="22">
        <v>1472</v>
      </c>
      <c r="B1780" s="197"/>
      <c r="C1780" s="25" t="s">
        <v>2180</v>
      </c>
      <c r="D1780" s="136" t="s">
        <v>2181</v>
      </c>
      <c r="E1780" s="136" t="s">
        <v>12</v>
      </c>
      <c r="F1780" s="24">
        <v>5615.8440000000001</v>
      </c>
      <c r="G1780" s="24">
        <v>0</v>
      </c>
      <c r="H1780" s="24">
        <v>0</v>
      </c>
      <c r="I1780" s="24">
        <v>5615.8440000000001</v>
      </c>
      <c r="J1780" s="24">
        <v>0</v>
      </c>
      <c r="K1780" s="36">
        <v>45261</v>
      </c>
    </row>
    <row r="1781" spans="1:11" s="51" customFormat="1" ht="27" customHeight="1" x14ac:dyDescent="0.25">
      <c r="A1781" s="245" t="s">
        <v>2187</v>
      </c>
      <c r="B1781" s="245"/>
      <c r="C1781" s="245"/>
      <c r="D1781" s="245"/>
      <c r="E1781" s="245"/>
      <c r="F1781" s="151">
        <f>SUM(F1777:F1780)</f>
        <v>8314.6155899999994</v>
      </c>
      <c r="G1781" s="151">
        <f t="shared" ref="G1781:J1781" si="111">SUM(G1777:G1780)</f>
        <v>0</v>
      </c>
      <c r="H1781" s="151">
        <f t="shared" si="111"/>
        <v>0</v>
      </c>
      <c r="I1781" s="151">
        <f t="shared" si="111"/>
        <v>8314.6155899999994</v>
      </c>
      <c r="J1781" s="151">
        <f t="shared" si="111"/>
        <v>0</v>
      </c>
      <c r="K1781" s="38"/>
    </row>
    <row r="1782" spans="1:11" s="51" customFormat="1" ht="81.599999999999994" customHeight="1" x14ac:dyDescent="0.25">
      <c r="A1782" s="110">
        <v>1473</v>
      </c>
      <c r="B1782" s="243" t="s">
        <v>3174</v>
      </c>
      <c r="C1782" s="25" t="s">
        <v>2188</v>
      </c>
      <c r="D1782" s="32" t="s">
        <v>2189</v>
      </c>
      <c r="E1782" s="74" t="s">
        <v>21</v>
      </c>
      <c r="F1782" s="69">
        <v>3020</v>
      </c>
      <c r="G1782" s="111">
        <f t="shared" ref="G1782:G1799" si="112">F1782</f>
        <v>3020</v>
      </c>
      <c r="H1782" s="111">
        <v>0</v>
      </c>
      <c r="I1782" s="111">
        <v>0</v>
      </c>
      <c r="J1782" s="111">
        <v>0</v>
      </c>
      <c r="K1782" s="77">
        <v>44621</v>
      </c>
    </row>
    <row r="1783" spans="1:11" s="51" customFormat="1" ht="67.8" customHeight="1" x14ac:dyDescent="0.25">
      <c r="A1783" s="110">
        <v>1474</v>
      </c>
      <c r="B1783" s="243"/>
      <c r="C1783" s="25" t="s">
        <v>2190</v>
      </c>
      <c r="D1783" s="32" t="s">
        <v>2191</v>
      </c>
      <c r="E1783" s="74" t="s">
        <v>21</v>
      </c>
      <c r="F1783" s="69">
        <v>700.3</v>
      </c>
      <c r="G1783" s="111">
        <f t="shared" si="112"/>
        <v>700.3</v>
      </c>
      <c r="H1783" s="111">
        <v>0</v>
      </c>
      <c r="I1783" s="111">
        <v>0</v>
      </c>
      <c r="J1783" s="111">
        <v>0</v>
      </c>
      <c r="K1783" s="77">
        <v>44621</v>
      </c>
    </row>
    <row r="1784" spans="1:11" s="51" customFormat="1" ht="58.2" customHeight="1" x14ac:dyDescent="0.25">
      <c r="A1784" s="110">
        <v>1475</v>
      </c>
      <c r="B1784" s="243"/>
      <c r="C1784" s="25" t="s">
        <v>2192</v>
      </c>
      <c r="D1784" s="32" t="s">
        <v>2193</v>
      </c>
      <c r="E1784" s="74" t="s">
        <v>21</v>
      </c>
      <c r="F1784" s="69">
        <v>1883.2</v>
      </c>
      <c r="G1784" s="111">
        <f t="shared" si="112"/>
        <v>1883.2</v>
      </c>
      <c r="H1784" s="111">
        <v>0</v>
      </c>
      <c r="I1784" s="111">
        <v>0</v>
      </c>
      <c r="J1784" s="111">
        <v>0</v>
      </c>
      <c r="K1784" s="77">
        <v>44621</v>
      </c>
    </row>
    <row r="1785" spans="1:11" s="51" customFormat="1" ht="82.2" customHeight="1" x14ac:dyDescent="0.25">
      <c r="A1785" s="110">
        <v>1476</v>
      </c>
      <c r="B1785" s="243"/>
      <c r="C1785" s="25" t="s">
        <v>2194</v>
      </c>
      <c r="D1785" s="32" t="s">
        <v>2195</v>
      </c>
      <c r="E1785" s="74" t="s">
        <v>1155</v>
      </c>
      <c r="F1785" s="69">
        <v>406.2</v>
      </c>
      <c r="G1785" s="111">
        <f t="shared" si="112"/>
        <v>406.2</v>
      </c>
      <c r="H1785" s="111">
        <v>0</v>
      </c>
      <c r="I1785" s="111">
        <v>0</v>
      </c>
      <c r="J1785" s="111">
        <v>0</v>
      </c>
      <c r="K1785" s="77">
        <v>44652</v>
      </c>
    </row>
    <row r="1786" spans="1:11" s="51" customFormat="1" ht="127.2" customHeight="1" x14ac:dyDescent="0.25">
      <c r="A1786" s="110">
        <v>1477</v>
      </c>
      <c r="B1786" s="243"/>
      <c r="C1786" s="138" t="s">
        <v>2196</v>
      </c>
      <c r="D1786" s="33" t="s">
        <v>2197</v>
      </c>
      <c r="E1786" s="74" t="s">
        <v>21</v>
      </c>
      <c r="F1786" s="69">
        <v>4046.1</v>
      </c>
      <c r="G1786" s="111">
        <f t="shared" si="112"/>
        <v>4046.1</v>
      </c>
      <c r="H1786" s="111">
        <v>0</v>
      </c>
      <c r="I1786" s="111">
        <v>0</v>
      </c>
      <c r="J1786" s="111">
        <v>0</v>
      </c>
      <c r="K1786" s="77">
        <v>44682</v>
      </c>
    </row>
    <row r="1787" spans="1:11" s="51" customFormat="1" ht="67.2" customHeight="1" x14ac:dyDescent="0.25">
      <c r="A1787" s="110">
        <v>1478</v>
      </c>
      <c r="B1787" s="243"/>
      <c r="C1787" s="25" t="s">
        <v>2190</v>
      </c>
      <c r="D1787" s="32" t="s">
        <v>2198</v>
      </c>
      <c r="E1787" s="74" t="s">
        <v>21</v>
      </c>
      <c r="F1787" s="69">
        <v>1576.8</v>
      </c>
      <c r="G1787" s="111">
        <f t="shared" si="112"/>
        <v>1576.8</v>
      </c>
      <c r="H1787" s="111">
        <v>0</v>
      </c>
      <c r="I1787" s="111">
        <v>0</v>
      </c>
      <c r="J1787" s="111">
        <v>0</v>
      </c>
      <c r="K1787" s="77">
        <v>44621</v>
      </c>
    </row>
    <row r="1788" spans="1:11" s="51" customFormat="1" ht="43.8" customHeight="1" x14ac:dyDescent="0.25">
      <c r="A1788" s="110">
        <v>1479</v>
      </c>
      <c r="B1788" s="243"/>
      <c r="C1788" s="25" t="s">
        <v>2199</v>
      </c>
      <c r="D1788" s="32" t="s">
        <v>2200</v>
      </c>
      <c r="E1788" s="74" t="s">
        <v>21</v>
      </c>
      <c r="F1788" s="69">
        <v>7163.4</v>
      </c>
      <c r="G1788" s="111">
        <f t="shared" si="112"/>
        <v>7163.4</v>
      </c>
      <c r="H1788" s="111">
        <v>0</v>
      </c>
      <c r="I1788" s="111">
        <v>0</v>
      </c>
      <c r="J1788" s="111">
        <v>0</v>
      </c>
      <c r="K1788" s="77">
        <v>44652</v>
      </c>
    </row>
    <row r="1789" spans="1:11" s="51" customFormat="1" ht="37.200000000000003" customHeight="1" x14ac:dyDescent="0.25">
      <c r="A1789" s="110">
        <v>1480</v>
      </c>
      <c r="B1789" s="243"/>
      <c r="C1789" s="25" t="s">
        <v>2201</v>
      </c>
      <c r="D1789" s="32" t="s">
        <v>2200</v>
      </c>
      <c r="E1789" s="74" t="s">
        <v>21</v>
      </c>
      <c r="F1789" s="69">
        <v>18010.2</v>
      </c>
      <c r="G1789" s="111">
        <f t="shared" si="112"/>
        <v>18010.2</v>
      </c>
      <c r="H1789" s="111">
        <v>0</v>
      </c>
      <c r="I1789" s="111">
        <v>0</v>
      </c>
      <c r="J1789" s="111">
        <v>0</v>
      </c>
      <c r="K1789" s="77">
        <v>44652</v>
      </c>
    </row>
    <row r="1790" spans="1:11" s="51" customFormat="1" ht="38.4" customHeight="1" x14ac:dyDescent="0.25">
      <c r="A1790" s="110">
        <v>1481</v>
      </c>
      <c r="B1790" s="243"/>
      <c r="C1790" s="25" t="s">
        <v>2202</v>
      </c>
      <c r="D1790" s="32" t="s">
        <v>2200</v>
      </c>
      <c r="E1790" s="74" t="s">
        <v>21</v>
      </c>
      <c r="F1790" s="69">
        <v>18473.5</v>
      </c>
      <c r="G1790" s="111">
        <f t="shared" si="112"/>
        <v>18473.5</v>
      </c>
      <c r="H1790" s="111">
        <v>0</v>
      </c>
      <c r="I1790" s="111">
        <v>0</v>
      </c>
      <c r="J1790" s="111">
        <v>0</v>
      </c>
      <c r="K1790" s="77">
        <v>44652</v>
      </c>
    </row>
    <row r="1791" spans="1:11" s="51" customFormat="1" ht="53.4" customHeight="1" x14ac:dyDescent="0.25">
      <c r="A1791" s="110">
        <v>1482</v>
      </c>
      <c r="B1791" s="243"/>
      <c r="C1791" s="25" t="s">
        <v>2203</v>
      </c>
      <c r="D1791" s="68" t="s">
        <v>2204</v>
      </c>
      <c r="E1791" s="74" t="s">
        <v>21</v>
      </c>
      <c r="F1791" s="69">
        <v>17467.099999999999</v>
      </c>
      <c r="G1791" s="111">
        <f t="shared" si="112"/>
        <v>17467.099999999999</v>
      </c>
      <c r="H1791" s="111">
        <v>0</v>
      </c>
      <c r="I1791" s="111">
        <v>0</v>
      </c>
      <c r="J1791" s="111">
        <v>0</v>
      </c>
      <c r="K1791" s="77">
        <v>44652</v>
      </c>
    </row>
    <row r="1792" spans="1:11" s="51" customFormat="1" ht="42.6" customHeight="1" x14ac:dyDescent="0.25">
      <c r="A1792" s="110">
        <v>1483</v>
      </c>
      <c r="B1792" s="243"/>
      <c r="C1792" s="25" t="s">
        <v>2205</v>
      </c>
      <c r="D1792" s="68" t="s">
        <v>2206</v>
      </c>
      <c r="E1792" s="74" t="s">
        <v>21</v>
      </c>
      <c r="F1792" s="69">
        <v>13025.1</v>
      </c>
      <c r="G1792" s="111">
        <f t="shared" si="112"/>
        <v>13025.1</v>
      </c>
      <c r="H1792" s="111">
        <v>0</v>
      </c>
      <c r="I1792" s="111">
        <v>0</v>
      </c>
      <c r="J1792" s="111">
        <v>0</v>
      </c>
      <c r="K1792" s="77">
        <v>44682</v>
      </c>
    </row>
    <row r="1793" spans="1:11" s="51" customFormat="1" ht="36" customHeight="1" x14ac:dyDescent="0.25">
      <c r="A1793" s="110">
        <v>1484</v>
      </c>
      <c r="B1793" s="243"/>
      <c r="C1793" s="25" t="s">
        <v>2207</v>
      </c>
      <c r="D1793" s="32" t="s">
        <v>2200</v>
      </c>
      <c r="E1793" s="74" t="s">
        <v>21</v>
      </c>
      <c r="F1793" s="69">
        <v>13427.8</v>
      </c>
      <c r="G1793" s="111">
        <f t="shared" si="112"/>
        <v>13427.8</v>
      </c>
      <c r="H1793" s="111">
        <v>0</v>
      </c>
      <c r="I1793" s="111">
        <v>0</v>
      </c>
      <c r="J1793" s="111">
        <v>0</v>
      </c>
      <c r="K1793" s="77">
        <v>44652</v>
      </c>
    </row>
    <row r="1794" spans="1:11" s="51" customFormat="1" ht="43.8" customHeight="1" x14ac:dyDescent="0.25">
      <c r="A1794" s="110">
        <v>1485</v>
      </c>
      <c r="B1794" s="243"/>
      <c r="C1794" s="25" t="s">
        <v>2208</v>
      </c>
      <c r="D1794" s="32" t="s">
        <v>2200</v>
      </c>
      <c r="E1794" s="74" t="s">
        <v>21</v>
      </c>
      <c r="F1794" s="69">
        <v>9259.7999999999993</v>
      </c>
      <c r="G1794" s="111">
        <f t="shared" si="112"/>
        <v>9259.7999999999993</v>
      </c>
      <c r="H1794" s="111">
        <v>0</v>
      </c>
      <c r="I1794" s="111">
        <v>0</v>
      </c>
      <c r="J1794" s="111">
        <v>0</v>
      </c>
      <c r="K1794" s="77">
        <v>44652</v>
      </c>
    </row>
    <row r="1795" spans="1:11" s="51" customFormat="1" ht="37.799999999999997" customHeight="1" x14ac:dyDescent="0.25">
      <c r="A1795" s="110">
        <v>1486</v>
      </c>
      <c r="B1795" s="243"/>
      <c r="C1795" s="25" t="s">
        <v>2209</v>
      </c>
      <c r="D1795" s="32" t="s">
        <v>2200</v>
      </c>
      <c r="E1795" s="74" t="s">
        <v>21</v>
      </c>
      <c r="F1795" s="69">
        <v>5549.3</v>
      </c>
      <c r="G1795" s="111">
        <f t="shared" si="112"/>
        <v>5549.3</v>
      </c>
      <c r="H1795" s="111">
        <v>0</v>
      </c>
      <c r="I1795" s="111">
        <v>0</v>
      </c>
      <c r="J1795" s="111">
        <v>0</v>
      </c>
      <c r="K1795" s="77">
        <v>44652</v>
      </c>
    </row>
    <row r="1796" spans="1:11" s="51" customFormat="1" ht="46.2" customHeight="1" x14ac:dyDescent="0.25">
      <c r="A1796" s="110">
        <v>1487</v>
      </c>
      <c r="B1796" s="243"/>
      <c r="C1796" s="25" t="s">
        <v>2210</v>
      </c>
      <c r="D1796" s="32" t="s">
        <v>2200</v>
      </c>
      <c r="E1796" s="74" t="s">
        <v>21</v>
      </c>
      <c r="F1796" s="69">
        <v>8842.4</v>
      </c>
      <c r="G1796" s="111">
        <f t="shared" si="112"/>
        <v>8842.4</v>
      </c>
      <c r="H1796" s="111">
        <v>0</v>
      </c>
      <c r="I1796" s="111">
        <v>0</v>
      </c>
      <c r="J1796" s="111">
        <v>0</v>
      </c>
      <c r="K1796" s="77">
        <v>44652</v>
      </c>
    </row>
    <row r="1797" spans="1:11" s="51" customFormat="1" ht="70.8" customHeight="1" x14ac:dyDescent="0.25">
      <c r="A1797" s="110">
        <v>1488</v>
      </c>
      <c r="B1797" s="243"/>
      <c r="C1797" s="25" t="s">
        <v>2211</v>
      </c>
      <c r="D1797" s="32" t="s">
        <v>2644</v>
      </c>
      <c r="E1797" s="74" t="s">
        <v>21</v>
      </c>
      <c r="F1797" s="69">
        <v>15539.7</v>
      </c>
      <c r="G1797" s="111">
        <f t="shared" si="112"/>
        <v>15539.7</v>
      </c>
      <c r="H1797" s="111">
        <v>0</v>
      </c>
      <c r="I1797" s="111">
        <v>0</v>
      </c>
      <c r="J1797" s="111">
        <v>0</v>
      </c>
      <c r="K1797" s="77">
        <v>44713</v>
      </c>
    </row>
    <row r="1798" spans="1:11" s="51" customFormat="1" ht="54" customHeight="1" x14ac:dyDescent="0.25">
      <c r="A1798" s="110">
        <v>1489</v>
      </c>
      <c r="B1798" s="243"/>
      <c r="C1798" s="25" t="s">
        <v>2212</v>
      </c>
      <c r="D1798" s="32" t="s">
        <v>2213</v>
      </c>
      <c r="E1798" s="74" t="s">
        <v>21</v>
      </c>
      <c r="F1798" s="69">
        <v>2194.1999999999998</v>
      </c>
      <c r="G1798" s="111">
        <f t="shared" si="112"/>
        <v>2194.1999999999998</v>
      </c>
      <c r="H1798" s="111">
        <v>0</v>
      </c>
      <c r="I1798" s="111">
        <v>0</v>
      </c>
      <c r="J1798" s="111">
        <v>0</v>
      </c>
      <c r="K1798" s="77">
        <v>44805</v>
      </c>
    </row>
    <row r="1799" spans="1:11" s="51" customFormat="1" ht="65.400000000000006" customHeight="1" x14ac:dyDescent="0.25">
      <c r="A1799" s="110">
        <v>1490</v>
      </c>
      <c r="B1799" s="243"/>
      <c r="C1799" s="25" t="s">
        <v>2214</v>
      </c>
      <c r="D1799" s="32" t="s">
        <v>2215</v>
      </c>
      <c r="E1799" s="74" t="s">
        <v>21</v>
      </c>
      <c r="F1799" s="69">
        <v>2858.9</v>
      </c>
      <c r="G1799" s="111">
        <f t="shared" si="112"/>
        <v>2858.9</v>
      </c>
      <c r="H1799" s="111">
        <v>0</v>
      </c>
      <c r="I1799" s="111">
        <v>0</v>
      </c>
      <c r="J1799" s="111">
        <v>0</v>
      </c>
      <c r="K1799" s="77">
        <v>44805</v>
      </c>
    </row>
    <row r="1800" spans="1:11" s="51" customFormat="1" ht="52.2" customHeight="1" x14ac:dyDescent="0.25">
      <c r="A1800" s="110">
        <v>1491</v>
      </c>
      <c r="B1800" s="243"/>
      <c r="C1800" s="25" t="s">
        <v>2216</v>
      </c>
      <c r="D1800" s="32" t="s">
        <v>2213</v>
      </c>
      <c r="E1800" s="74" t="s">
        <v>21</v>
      </c>
      <c r="F1800" s="69">
        <v>3071</v>
      </c>
      <c r="G1800" s="111">
        <v>0</v>
      </c>
      <c r="H1800" s="111">
        <f>F1800</f>
        <v>3071</v>
      </c>
      <c r="I1800" s="111">
        <v>0</v>
      </c>
      <c r="J1800" s="111">
        <v>0</v>
      </c>
      <c r="K1800" s="77">
        <v>44866</v>
      </c>
    </row>
    <row r="1801" spans="1:11" s="51" customFormat="1" ht="66.599999999999994" customHeight="1" x14ac:dyDescent="0.25">
      <c r="A1801" s="110">
        <v>1492</v>
      </c>
      <c r="B1801" s="243"/>
      <c r="C1801" s="25" t="s">
        <v>2217</v>
      </c>
      <c r="D1801" s="32" t="s">
        <v>2215</v>
      </c>
      <c r="E1801" s="74" t="s">
        <v>21</v>
      </c>
      <c r="F1801" s="69">
        <v>4003</v>
      </c>
      <c r="G1801" s="111">
        <v>0</v>
      </c>
      <c r="H1801" s="111">
        <f>F1801</f>
        <v>4003</v>
      </c>
      <c r="I1801" s="111">
        <v>0</v>
      </c>
      <c r="J1801" s="111">
        <v>0</v>
      </c>
      <c r="K1801" s="77">
        <v>44866</v>
      </c>
    </row>
    <row r="1802" spans="1:11" s="51" customFormat="1" ht="41.4" customHeight="1" x14ac:dyDescent="0.25">
      <c r="A1802" s="110">
        <v>1493</v>
      </c>
      <c r="B1802" s="243"/>
      <c r="C1802" s="25" t="s">
        <v>2218</v>
      </c>
      <c r="D1802" s="61" t="s">
        <v>1370</v>
      </c>
      <c r="E1802" s="74" t="s">
        <v>21</v>
      </c>
      <c r="F1802" s="69">
        <v>1073</v>
      </c>
      <c r="G1802" s="111">
        <v>0</v>
      </c>
      <c r="H1802" s="111">
        <v>1073</v>
      </c>
      <c r="I1802" s="111">
        <v>0</v>
      </c>
      <c r="J1802" s="111">
        <v>0</v>
      </c>
      <c r="K1802" s="77">
        <v>44866</v>
      </c>
    </row>
    <row r="1803" spans="1:11" s="51" customFormat="1" ht="55.2" customHeight="1" x14ac:dyDescent="0.25">
      <c r="A1803" s="110">
        <v>1494</v>
      </c>
      <c r="B1803" s="243"/>
      <c r="C1803" s="25" t="s">
        <v>2219</v>
      </c>
      <c r="D1803" s="61" t="s">
        <v>2220</v>
      </c>
      <c r="E1803" s="74" t="s">
        <v>21</v>
      </c>
      <c r="F1803" s="69">
        <v>1138</v>
      </c>
      <c r="G1803" s="111">
        <v>0</v>
      </c>
      <c r="H1803" s="111">
        <v>1138</v>
      </c>
      <c r="I1803" s="111">
        <v>0</v>
      </c>
      <c r="J1803" s="111">
        <v>0</v>
      </c>
      <c r="K1803" s="77">
        <v>44866</v>
      </c>
    </row>
    <row r="1804" spans="1:11" s="51" customFormat="1" ht="36" customHeight="1" x14ac:dyDescent="0.25">
      <c r="A1804" s="110">
        <v>1495</v>
      </c>
      <c r="B1804" s="243"/>
      <c r="C1804" s="25" t="s">
        <v>2221</v>
      </c>
      <c r="D1804" s="61" t="s">
        <v>2222</v>
      </c>
      <c r="E1804" s="74" t="s">
        <v>21</v>
      </c>
      <c r="F1804" s="69">
        <f>H1804</f>
        <v>5921</v>
      </c>
      <c r="G1804" s="111">
        <v>0</v>
      </c>
      <c r="H1804" s="111">
        <v>5921</v>
      </c>
      <c r="I1804" s="111">
        <v>0</v>
      </c>
      <c r="J1804" s="111">
        <v>0</v>
      </c>
      <c r="K1804" s="77">
        <v>44866</v>
      </c>
    </row>
    <row r="1805" spans="1:11" s="51" customFormat="1" ht="102" customHeight="1" x14ac:dyDescent="0.25">
      <c r="A1805" s="110">
        <v>1496</v>
      </c>
      <c r="B1805" s="243"/>
      <c r="C1805" s="138" t="s">
        <v>2223</v>
      </c>
      <c r="D1805" s="76" t="s">
        <v>2224</v>
      </c>
      <c r="E1805" s="74" t="s">
        <v>21</v>
      </c>
      <c r="F1805" s="69">
        <v>563</v>
      </c>
      <c r="G1805" s="111"/>
      <c r="H1805" s="111">
        <v>515</v>
      </c>
      <c r="I1805" s="111">
        <f>F1805-H1805</f>
        <v>48</v>
      </c>
      <c r="J1805" s="111"/>
      <c r="K1805" s="77">
        <v>44866</v>
      </c>
    </row>
    <row r="1806" spans="1:11" s="51" customFormat="1" ht="69" customHeight="1" x14ac:dyDescent="0.25">
      <c r="A1806" s="110">
        <v>1497</v>
      </c>
      <c r="B1806" s="243"/>
      <c r="C1806" s="25" t="s">
        <v>2225</v>
      </c>
      <c r="D1806" s="61" t="s">
        <v>2226</v>
      </c>
      <c r="E1806" s="74" t="s">
        <v>21</v>
      </c>
      <c r="F1806" s="69">
        <v>2051</v>
      </c>
      <c r="G1806" s="111"/>
      <c r="H1806" s="111">
        <v>1879</v>
      </c>
      <c r="I1806" s="111">
        <v>172</v>
      </c>
      <c r="J1806" s="111"/>
      <c r="K1806" s="77">
        <v>44866</v>
      </c>
    </row>
    <row r="1807" spans="1:11" s="51" customFormat="1" ht="15.6" customHeight="1" x14ac:dyDescent="0.25">
      <c r="A1807" s="217" t="s">
        <v>3175</v>
      </c>
      <c r="B1807" s="217"/>
      <c r="C1807" s="217"/>
      <c r="D1807" s="217"/>
      <c r="E1807" s="217"/>
      <c r="F1807" s="113">
        <f>SUM(F1782:F1806)</f>
        <v>161264</v>
      </c>
      <c r="G1807" s="113">
        <f>SUM(G1782:G1806)</f>
        <v>143444</v>
      </c>
      <c r="H1807" s="113">
        <f>SUM(H1782:H1806)</f>
        <v>17600</v>
      </c>
      <c r="I1807" s="113">
        <f>SUM(I1782:I1806)</f>
        <v>220</v>
      </c>
      <c r="J1807" s="113">
        <f>SUM(J1782:J1806)</f>
        <v>0</v>
      </c>
      <c r="K1807" s="75"/>
    </row>
    <row r="1808" spans="1:11" s="51" customFormat="1" ht="123.6" customHeight="1" x14ac:dyDescent="0.25">
      <c r="A1808" s="127">
        <v>1498</v>
      </c>
      <c r="B1808" s="243" t="s">
        <v>3174</v>
      </c>
      <c r="C1808" s="138" t="s">
        <v>2227</v>
      </c>
      <c r="D1808" s="76" t="s">
        <v>2228</v>
      </c>
      <c r="E1808" s="74" t="s">
        <v>21</v>
      </c>
      <c r="F1808" s="128">
        <v>3057</v>
      </c>
      <c r="G1808" s="113"/>
      <c r="H1808" s="128">
        <v>3057</v>
      </c>
      <c r="I1808" s="113"/>
      <c r="J1808" s="113"/>
      <c r="K1808" s="77">
        <v>44927</v>
      </c>
    </row>
    <row r="1809" spans="1:11" s="51" customFormat="1" ht="88.8" customHeight="1" x14ac:dyDescent="0.25">
      <c r="A1809" s="127">
        <v>1499</v>
      </c>
      <c r="B1809" s="243"/>
      <c r="C1809" s="138" t="s">
        <v>2229</v>
      </c>
      <c r="D1809" s="76" t="s">
        <v>2230</v>
      </c>
      <c r="E1809" s="74" t="s">
        <v>21</v>
      </c>
      <c r="F1809" s="128">
        <v>3050</v>
      </c>
      <c r="G1809" s="113"/>
      <c r="H1809" s="128"/>
      <c r="I1809" s="128">
        <v>3050</v>
      </c>
      <c r="J1809" s="113"/>
      <c r="K1809" s="77">
        <v>44927</v>
      </c>
    </row>
    <row r="1810" spans="1:11" s="51" customFormat="1" ht="52.8" x14ac:dyDescent="0.25">
      <c r="A1810" s="127">
        <v>1500</v>
      </c>
      <c r="B1810" s="243"/>
      <c r="C1810" s="138" t="s">
        <v>2231</v>
      </c>
      <c r="D1810" s="76" t="s">
        <v>2232</v>
      </c>
      <c r="E1810" s="74" t="s">
        <v>21</v>
      </c>
      <c r="F1810" s="111">
        <v>19181</v>
      </c>
      <c r="G1810" s="111">
        <v>0</v>
      </c>
      <c r="H1810" s="111">
        <f>F1810</f>
        <v>19181</v>
      </c>
      <c r="I1810" s="111">
        <v>0</v>
      </c>
      <c r="J1810" s="111">
        <v>0</v>
      </c>
      <c r="K1810" s="77">
        <v>44927</v>
      </c>
    </row>
    <row r="1811" spans="1:11" s="51" customFormat="1" ht="91.8" customHeight="1" x14ac:dyDescent="0.25">
      <c r="A1811" s="127">
        <v>1501</v>
      </c>
      <c r="B1811" s="243"/>
      <c r="C1811" s="138" t="s">
        <v>2233</v>
      </c>
      <c r="D1811" s="32" t="s">
        <v>2189</v>
      </c>
      <c r="E1811" s="74" t="s">
        <v>21</v>
      </c>
      <c r="F1811" s="111">
        <v>3020</v>
      </c>
      <c r="G1811" s="111">
        <v>0</v>
      </c>
      <c r="H1811" s="111">
        <v>3020</v>
      </c>
      <c r="I1811" s="111">
        <v>0</v>
      </c>
      <c r="J1811" s="111">
        <v>0</v>
      </c>
      <c r="K1811" s="77">
        <v>44986</v>
      </c>
    </row>
    <row r="1812" spans="1:11" s="51" customFormat="1" ht="76.8" customHeight="1" x14ac:dyDescent="0.25">
      <c r="A1812" s="127">
        <v>1502</v>
      </c>
      <c r="B1812" s="243"/>
      <c r="C1812" s="138" t="s">
        <v>2234</v>
      </c>
      <c r="D1812" s="32" t="s">
        <v>2191</v>
      </c>
      <c r="E1812" s="74" t="s">
        <v>21</v>
      </c>
      <c r="F1812" s="111">
        <v>700</v>
      </c>
      <c r="G1812" s="111">
        <v>0</v>
      </c>
      <c r="H1812" s="111">
        <v>700</v>
      </c>
      <c r="I1812" s="111">
        <v>0</v>
      </c>
      <c r="J1812" s="111">
        <v>0</v>
      </c>
      <c r="K1812" s="77">
        <v>44986</v>
      </c>
    </row>
    <row r="1813" spans="1:11" s="51" customFormat="1" ht="52.8" customHeight="1" x14ac:dyDescent="0.25">
      <c r="A1813" s="127">
        <v>1503</v>
      </c>
      <c r="B1813" s="243"/>
      <c r="C1813" s="138" t="s">
        <v>2235</v>
      </c>
      <c r="D1813" s="32" t="s">
        <v>2193</v>
      </c>
      <c r="E1813" s="74" t="s">
        <v>21</v>
      </c>
      <c r="F1813" s="111">
        <v>2201</v>
      </c>
      <c r="G1813" s="111"/>
      <c r="H1813" s="111">
        <v>2201</v>
      </c>
      <c r="I1813" s="111"/>
      <c r="J1813" s="111"/>
      <c r="K1813" s="77">
        <v>44986</v>
      </c>
    </row>
    <row r="1814" spans="1:11" s="51" customFormat="1" ht="83.4" customHeight="1" x14ac:dyDescent="0.25">
      <c r="A1814" s="127">
        <v>1504</v>
      </c>
      <c r="B1814" s="243"/>
      <c r="C1814" s="138" t="s">
        <v>2236</v>
      </c>
      <c r="D1814" s="32" t="s">
        <v>2195</v>
      </c>
      <c r="E1814" s="74" t="s">
        <v>21</v>
      </c>
      <c r="F1814" s="111">
        <v>406</v>
      </c>
      <c r="G1814" s="111"/>
      <c r="H1814" s="111">
        <v>406</v>
      </c>
      <c r="I1814" s="111"/>
      <c r="J1814" s="111"/>
      <c r="K1814" s="77">
        <v>45017</v>
      </c>
    </row>
    <row r="1815" spans="1:11" s="51" customFormat="1" ht="119.4" customHeight="1" x14ac:dyDescent="0.25">
      <c r="A1815" s="127">
        <v>1505</v>
      </c>
      <c r="B1815" s="243"/>
      <c r="C1815" s="138" t="s">
        <v>2237</v>
      </c>
      <c r="D1815" s="33" t="s">
        <v>2197</v>
      </c>
      <c r="E1815" s="74" t="s">
        <v>21</v>
      </c>
      <c r="F1815" s="111">
        <v>5143</v>
      </c>
      <c r="G1815" s="111">
        <v>0</v>
      </c>
      <c r="H1815" s="111">
        <v>5143</v>
      </c>
      <c r="I1815" s="111">
        <v>0</v>
      </c>
      <c r="J1815" s="111">
        <v>0</v>
      </c>
      <c r="K1815" s="77">
        <v>45047</v>
      </c>
    </row>
    <row r="1816" spans="1:11" s="51" customFormat="1" ht="36" customHeight="1" x14ac:dyDescent="0.25">
      <c r="A1816" s="127">
        <v>1506</v>
      </c>
      <c r="B1816" s="263"/>
      <c r="C1816" s="138" t="s">
        <v>2238</v>
      </c>
      <c r="D1816" s="76" t="s">
        <v>2239</v>
      </c>
      <c r="E1816" s="74" t="s">
        <v>21</v>
      </c>
      <c r="F1816" s="111">
        <v>20000</v>
      </c>
      <c r="G1816" s="111"/>
      <c r="H1816" s="111">
        <v>20000</v>
      </c>
      <c r="I1816" s="111"/>
      <c r="J1816" s="111"/>
      <c r="K1816" s="77">
        <v>45047</v>
      </c>
    </row>
    <row r="1817" spans="1:11" s="51" customFormat="1" ht="66" x14ac:dyDescent="0.25">
      <c r="A1817" s="127">
        <v>1507</v>
      </c>
      <c r="B1817" s="263"/>
      <c r="C1817" s="138" t="s">
        <v>2240</v>
      </c>
      <c r="D1817" s="32" t="s">
        <v>2644</v>
      </c>
      <c r="E1817" s="74" t="s">
        <v>21</v>
      </c>
      <c r="F1817" s="111">
        <v>6000</v>
      </c>
      <c r="G1817" s="111">
        <v>0</v>
      </c>
      <c r="H1817" s="111">
        <f>F1817</f>
        <v>6000</v>
      </c>
      <c r="I1817" s="111">
        <v>0</v>
      </c>
      <c r="J1817" s="111">
        <v>0</v>
      </c>
      <c r="K1817" s="77">
        <v>45047</v>
      </c>
    </row>
    <row r="1818" spans="1:11" s="51" customFormat="1" ht="54.6" customHeight="1" x14ac:dyDescent="0.25">
      <c r="A1818" s="127">
        <v>1508</v>
      </c>
      <c r="B1818" s="263"/>
      <c r="C1818" s="138" t="s">
        <v>2241</v>
      </c>
      <c r="D1818" s="76" t="s">
        <v>2213</v>
      </c>
      <c r="E1818" s="74" t="s">
        <v>21</v>
      </c>
      <c r="F1818" s="111">
        <v>2194</v>
      </c>
      <c r="G1818" s="111">
        <v>0</v>
      </c>
      <c r="H1818" s="111">
        <v>1317</v>
      </c>
      <c r="I1818" s="111">
        <v>877</v>
      </c>
      <c r="J1818" s="111"/>
      <c r="K1818" s="77">
        <v>45139</v>
      </c>
    </row>
    <row r="1819" spans="1:11" s="51" customFormat="1" ht="52.8" x14ac:dyDescent="0.25">
      <c r="A1819" s="127">
        <v>1509</v>
      </c>
      <c r="B1819" s="263"/>
      <c r="C1819" s="138" t="s">
        <v>2242</v>
      </c>
      <c r="D1819" s="76" t="s">
        <v>2215</v>
      </c>
      <c r="E1819" s="74" t="s">
        <v>21</v>
      </c>
      <c r="F1819" s="111">
        <v>2859</v>
      </c>
      <c r="G1819" s="111">
        <v>0</v>
      </c>
      <c r="H1819" s="111">
        <v>1716</v>
      </c>
      <c r="I1819" s="111">
        <v>1143</v>
      </c>
      <c r="J1819" s="111">
        <v>0</v>
      </c>
      <c r="K1819" s="77">
        <v>45139</v>
      </c>
    </row>
    <row r="1820" spans="1:11" s="51" customFormat="1" ht="55.2" customHeight="1" x14ac:dyDescent="0.25">
      <c r="A1820" s="127">
        <v>1510</v>
      </c>
      <c r="B1820" s="263"/>
      <c r="C1820" s="138" t="s">
        <v>2243</v>
      </c>
      <c r="D1820" s="32" t="s">
        <v>2213</v>
      </c>
      <c r="E1820" s="74" t="s">
        <v>21</v>
      </c>
      <c r="F1820" s="111">
        <v>3072</v>
      </c>
      <c r="G1820" s="111"/>
      <c r="H1820" s="111">
        <v>3072</v>
      </c>
      <c r="I1820" s="111"/>
      <c r="J1820" s="111"/>
      <c r="K1820" s="77">
        <v>45231</v>
      </c>
    </row>
    <row r="1821" spans="1:11" s="51" customFormat="1" ht="65.400000000000006" customHeight="1" x14ac:dyDescent="0.25">
      <c r="A1821" s="127">
        <v>1511</v>
      </c>
      <c r="B1821" s="263"/>
      <c r="C1821" s="138" t="s">
        <v>2244</v>
      </c>
      <c r="D1821" s="76" t="s">
        <v>2215</v>
      </c>
      <c r="E1821" s="74" t="s">
        <v>21</v>
      </c>
      <c r="F1821" s="111">
        <v>4002</v>
      </c>
      <c r="G1821" s="111"/>
      <c r="H1821" s="111">
        <v>4002</v>
      </c>
      <c r="I1821" s="111"/>
      <c r="J1821" s="111"/>
      <c r="K1821" s="77">
        <v>45231</v>
      </c>
    </row>
    <row r="1822" spans="1:11" s="51" customFormat="1" ht="64.2" customHeight="1" x14ac:dyDescent="0.25">
      <c r="A1822" s="127">
        <v>1512</v>
      </c>
      <c r="B1822" s="263"/>
      <c r="C1822" s="25" t="s">
        <v>2245</v>
      </c>
      <c r="D1822" s="61" t="s">
        <v>2226</v>
      </c>
      <c r="E1822" s="74" t="s">
        <v>21</v>
      </c>
      <c r="F1822" s="69">
        <v>1879</v>
      </c>
      <c r="G1822" s="111">
        <v>0</v>
      </c>
      <c r="H1822" s="111">
        <v>0</v>
      </c>
      <c r="I1822" s="111">
        <v>1879</v>
      </c>
      <c r="J1822" s="111"/>
      <c r="K1822" s="77">
        <v>45231</v>
      </c>
    </row>
    <row r="1823" spans="1:11" s="51" customFormat="1" ht="28.95" customHeight="1" x14ac:dyDescent="0.25">
      <c r="A1823" s="217" t="s">
        <v>3176</v>
      </c>
      <c r="B1823" s="217"/>
      <c r="C1823" s="217"/>
      <c r="D1823" s="217"/>
      <c r="E1823" s="217"/>
      <c r="F1823" s="113">
        <f>SUM(F1808:F1822)</f>
        <v>76764</v>
      </c>
      <c r="G1823" s="113">
        <f>SUM(G1808:G1822)</f>
        <v>0</v>
      </c>
      <c r="H1823" s="113">
        <f>SUM(H1808:H1822)</f>
        <v>69815</v>
      </c>
      <c r="I1823" s="113">
        <f>SUM(I1808:I1822)</f>
        <v>6949</v>
      </c>
      <c r="J1823" s="113">
        <f>SUM(J1811:J1822)</f>
        <v>0</v>
      </c>
      <c r="K1823" s="75"/>
    </row>
    <row r="1824" spans="1:11" s="51" customFormat="1" ht="76.2" customHeight="1" x14ac:dyDescent="0.25">
      <c r="A1824" s="110">
        <v>1513</v>
      </c>
      <c r="B1824" s="243" t="s">
        <v>3174</v>
      </c>
      <c r="C1824" s="138" t="s">
        <v>2246</v>
      </c>
      <c r="D1824" s="76" t="s">
        <v>2189</v>
      </c>
      <c r="E1824" s="74" t="s">
        <v>21</v>
      </c>
      <c r="F1824" s="111">
        <v>3020</v>
      </c>
      <c r="G1824" s="111">
        <v>0</v>
      </c>
      <c r="H1824" s="111">
        <v>0</v>
      </c>
      <c r="I1824" s="111">
        <v>3020</v>
      </c>
      <c r="J1824" s="111">
        <v>0</v>
      </c>
      <c r="K1824" s="77">
        <v>45352</v>
      </c>
    </row>
    <row r="1825" spans="1:11" s="51" customFormat="1" ht="61.2" customHeight="1" x14ac:dyDescent="0.25">
      <c r="A1825" s="110">
        <v>1514</v>
      </c>
      <c r="B1825" s="243"/>
      <c r="C1825" s="138" t="s">
        <v>2247</v>
      </c>
      <c r="D1825" s="76" t="s">
        <v>2191</v>
      </c>
      <c r="E1825" s="74" t="s">
        <v>21</v>
      </c>
      <c r="F1825" s="111">
        <v>700</v>
      </c>
      <c r="G1825" s="111">
        <v>0</v>
      </c>
      <c r="H1825" s="111">
        <v>0</v>
      </c>
      <c r="I1825" s="111">
        <v>700</v>
      </c>
      <c r="J1825" s="111">
        <v>0</v>
      </c>
      <c r="K1825" s="77">
        <v>45352</v>
      </c>
    </row>
    <row r="1826" spans="1:11" s="51" customFormat="1" ht="52.8" customHeight="1" x14ac:dyDescent="0.25">
      <c r="A1826" s="110">
        <v>1515</v>
      </c>
      <c r="B1826" s="243"/>
      <c r="C1826" s="138" t="s">
        <v>2248</v>
      </c>
      <c r="D1826" s="76" t="s">
        <v>2193</v>
      </c>
      <c r="E1826" s="74" t="s">
        <v>21</v>
      </c>
      <c r="F1826" s="111">
        <v>2201</v>
      </c>
      <c r="G1826" s="111">
        <v>0</v>
      </c>
      <c r="H1826" s="111">
        <v>0</v>
      </c>
      <c r="I1826" s="111">
        <v>2201</v>
      </c>
      <c r="J1826" s="111">
        <v>0</v>
      </c>
      <c r="K1826" s="77">
        <v>45352</v>
      </c>
    </row>
    <row r="1827" spans="1:11" s="51" customFormat="1" ht="66" customHeight="1" x14ac:dyDescent="0.25">
      <c r="A1827" s="110">
        <v>1516</v>
      </c>
      <c r="B1827" s="243"/>
      <c r="C1827" s="138" t="s">
        <v>2249</v>
      </c>
      <c r="D1827" s="76" t="s">
        <v>2215</v>
      </c>
      <c r="E1827" s="74" t="s">
        <v>21</v>
      </c>
      <c r="F1827" s="111">
        <v>1715</v>
      </c>
      <c r="G1827" s="111">
        <v>0</v>
      </c>
      <c r="H1827" s="111">
        <v>0</v>
      </c>
      <c r="I1827" s="111">
        <v>1715</v>
      </c>
      <c r="J1827" s="111">
        <v>0</v>
      </c>
      <c r="K1827" s="77">
        <v>45383</v>
      </c>
    </row>
    <row r="1828" spans="1:11" s="51" customFormat="1" ht="52.2" customHeight="1" x14ac:dyDescent="0.25">
      <c r="A1828" s="110">
        <v>1517</v>
      </c>
      <c r="B1828" s="243"/>
      <c r="C1828" s="138" t="s">
        <v>2250</v>
      </c>
      <c r="D1828" s="76" t="s">
        <v>2213</v>
      </c>
      <c r="E1828" s="74" t="s">
        <v>21</v>
      </c>
      <c r="F1828" s="111">
        <v>1316</v>
      </c>
      <c r="G1828" s="111">
        <v>0</v>
      </c>
      <c r="H1828" s="111">
        <v>0</v>
      </c>
      <c r="I1828" s="111">
        <v>1316</v>
      </c>
      <c r="J1828" s="111">
        <v>0</v>
      </c>
      <c r="K1828" s="77">
        <v>45383</v>
      </c>
    </row>
    <row r="1829" spans="1:11" s="51" customFormat="1" ht="126" customHeight="1" x14ac:dyDescent="0.25">
      <c r="A1829" s="110">
        <v>1518</v>
      </c>
      <c r="B1829" s="243"/>
      <c r="C1829" s="138" t="s">
        <v>2251</v>
      </c>
      <c r="D1829" s="76" t="s">
        <v>2252</v>
      </c>
      <c r="E1829" s="74" t="s">
        <v>21</v>
      </c>
      <c r="F1829" s="111">
        <v>406</v>
      </c>
      <c r="G1829" s="111">
        <v>0</v>
      </c>
      <c r="H1829" s="111">
        <v>0</v>
      </c>
      <c r="I1829" s="111">
        <v>406</v>
      </c>
      <c r="J1829" s="111">
        <v>0</v>
      </c>
      <c r="K1829" s="77">
        <v>45383</v>
      </c>
    </row>
    <row r="1830" spans="1:11" s="51" customFormat="1" ht="123.6" customHeight="1" x14ac:dyDescent="0.25">
      <c r="A1830" s="110">
        <v>1519</v>
      </c>
      <c r="B1830" s="243"/>
      <c r="C1830" s="138" t="s">
        <v>2253</v>
      </c>
      <c r="D1830" s="76" t="s">
        <v>2254</v>
      </c>
      <c r="E1830" s="74" t="s">
        <v>21</v>
      </c>
      <c r="F1830" s="111">
        <v>1956</v>
      </c>
      <c r="G1830" s="111">
        <v>0</v>
      </c>
      <c r="H1830" s="111">
        <v>0</v>
      </c>
      <c r="I1830" s="111">
        <v>1956</v>
      </c>
      <c r="J1830" s="111">
        <v>0</v>
      </c>
      <c r="K1830" s="77">
        <v>45413</v>
      </c>
    </row>
    <row r="1831" spans="1:11" s="51" customFormat="1" ht="29.4" customHeight="1" x14ac:dyDescent="0.25">
      <c r="A1831" s="217" t="s">
        <v>3177</v>
      </c>
      <c r="B1831" s="217"/>
      <c r="C1831" s="217"/>
      <c r="D1831" s="217"/>
      <c r="E1831" s="217"/>
      <c r="F1831" s="113">
        <f>SUM(F1824:F1830)</f>
        <v>11314</v>
      </c>
      <c r="G1831" s="113">
        <f>SUM(G1824:G1830)</f>
        <v>0</v>
      </c>
      <c r="H1831" s="113">
        <f>SUM(H1824:H1830)</f>
        <v>0</v>
      </c>
      <c r="I1831" s="113">
        <f>SUM(I1824:I1830)</f>
        <v>11314</v>
      </c>
      <c r="J1831" s="113">
        <f>SUM(J1824:J1830)</f>
        <v>0</v>
      </c>
      <c r="K1831" s="77"/>
    </row>
    <row r="1832" spans="1:11" s="51" customFormat="1" ht="26.4" x14ac:dyDescent="0.25">
      <c r="A1832" s="22">
        <v>1520</v>
      </c>
      <c r="B1832" s="139" t="s">
        <v>2255</v>
      </c>
      <c r="C1832" s="25" t="s">
        <v>2256</v>
      </c>
      <c r="D1832" s="27" t="s">
        <v>2257</v>
      </c>
      <c r="E1832" s="16" t="s">
        <v>2258</v>
      </c>
      <c r="F1832" s="23">
        <f>G1832+H1832+I1832</f>
        <v>5869.2460799999999</v>
      </c>
      <c r="G1832" s="23">
        <v>5122.0320000000002</v>
      </c>
      <c r="H1832" s="23">
        <v>747.21407999999997</v>
      </c>
      <c r="I1832" s="24">
        <v>0</v>
      </c>
      <c r="J1832" s="24">
        <v>0</v>
      </c>
      <c r="K1832" s="77">
        <v>44621</v>
      </c>
    </row>
    <row r="1833" spans="1:11" s="51" customFormat="1" ht="18.600000000000001" customHeight="1" x14ac:dyDescent="0.25">
      <c r="A1833" s="245" t="s">
        <v>2259</v>
      </c>
      <c r="B1833" s="245"/>
      <c r="C1833" s="245"/>
      <c r="D1833" s="245"/>
      <c r="E1833" s="246"/>
      <c r="F1833" s="29">
        <f>F1832</f>
        <v>5869.2460799999999</v>
      </c>
      <c r="G1833" s="29">
        <f t="shared" ref="G1833:J1833" si="113">G1832</f>
        <v>5122.0320000000002</v>
      </c>
      <c r="H1833" s="29">
        <f t="shared" si="113"/>
        <v>747.21407999999997</v>
      </c>
      <c r="I1833" s="29">
        <f t="shared" si="113"/>
        <v>0</v>
      </c>
      <c r="J1833" s="29">
        <f t="shared" si="113"/>
        <v>0</v>
      </c>
      <c r="K1833" s="38"/>
    </row>
    <row r="1834" spans="1:11" s="51" customFormat="1" ht="84" customHeight="1" x14ac:dyDescent="0.25">
      <c r="A1834" s="22">
        <v>1521</v>
      </c>
      <c r="B1834" s="197" t="s">
        <v>3178</v>
      </c>
      <c r="C1834" s="25" t="s">
        <v>2260</v>
      </c>
      <c r="D1834" s="27" t="s">
        <v>96</v>
      </c>
      <c r="E1834" s="16" t="s">
        <v>12</v>
      </c>
      <c r="F1834" s="23">
        <v>651.16999999999996</v>
      </c>
      <c r="G1834" s="23">
        <v>651.16999999999996</v>
      </c>
      <c r="H1834" s="24">
        <v>0</v>
      </c>
      <c r="I1834" s="24">
        <v>0</v>
      </c>
      <c r="J1834" s="24">
        <v>0</v>
      </c>
      <c r="K1834" s="77">
        <v>44621</v>
      </c>
    </row>
    <row r="1835" spans="1:11" s="51" customFormat="1" ht="26.4" x14ac:dyDescent="0.25">
      <c r="A1835" s="22">
        <v>1522</v>
      </c>
      <c r="B1835" s="197"/>
      <c r="C1835" s="25" t="s">
        <v>2261</v>
      </c>
      <c r="D1835" s="27" t="s">
        <v>91</v>
      </c>
      <c r="E1835" s="16" t="s">
        <v>12</v>
      </c>
      <c r="F1835" s="23" t="s">
        <v>2262</v>
      </c>
      <c r="G1835" s="23" t="s">
        <v>2262</v>
      </c>
      <c r="H1835" s="24">
        <v>0</v>
      </c>
      <c r="I1835" s="24">
        <v>0</v>
      </c>
      <c r="J1835" s="24">
        <v>0</v>
      </c>
      <c r="K1835" s="77">
        <v>44621</v>
      </c>
    </row>
    <row r="1836" spans="1:11" s="51" customFormat="1" ht="52.8" x14ac:dyDescent="0.25">
      <c r="A1836" s="22">
        <v>1523</v>
      </c>
      <c r="B1836" s="197"/>
      <c r="C1836" s="25" t="s">
        <v>2263</v>
      </c>
      <c r="D1836" s="27" t="s">
        <v>2264</v>
      </c>
      <c r="E1836" s="16" t="s">
        <v>2265</v>
      </c>
      <c r="F1836" s="23" t="s">
        <v>2266</v>
      </c>
      <c r="G1836" s="23" t="s">
        <v>2267</v>
      </c>
      <c r="H1836" s="24">
        <v>0</v>
      </c>
      <c r="I1836" s="24">
        <v>0</v>
      </c>
      <c r="J1836" s="24">
        <v>0</v>
      </c>
      <c r="K1836" s="77">
        <v>44621</v>
      </c>
    </row>
    <row r="1837" spans="1:11" s="51" customFormat="1" ht="40.799999999999997" customHeight="1" x14ac:dyDescent="0.25">
      <c r="A1837" s="22">
        <v>1524</v>
      </c>
      <c r="B1837" s="197"/>
      <c r="C1837" s="25" t="s">
        <v>2268</v>
      </c>
      <c r="D1837" s="27" t="s">
        <v>2269</v>
      </c>
      <c r="E1837" s="16" t="s">
        <v>12</v>
      </c>
      <c r="F1837" s="23" t="s">
        <v>2270</v>
      </c>
      <c r="G1837" s="23" t="s">
        <v>2271</v>
      </c>
      <c r="H1837" s="24">
        <v>0</v>
      </c>
      <c r="I1837" s="24">
        <v>0</v>
      </c>
      <c r="J1837" s="24">
        <v>0</v>
      </c>
      <c r="K1837" s="77">
        <v>44652</v>
      </c>
    </row>
    <row r="1838" spans="1:11" s="51" customFormat="1" ht="100.2" customHeight="1" x14ac:dyDescent="0.25">
      <c r="A1838" s="22">
        <v>1525</v>
      </c>
      <c r="B1838" s="197"/>
      <c r="C1838" s="25" t="s">
        <v>2272</v>
      </c>
      <c r="D1838" s="27" t="s">
        <v>2273</v>
      </c>
      <c r="E1838" s="16" t="s">
        <v>12</v>
      </c>
      <c r="F1838" s="23" t="s">
        <v>2274</v>
      </c>
      <c r="G1838" s="23" t="s">
        <v>2274</v>
      </c>
      <c r="H1838" s="24">
        <v>0</v>
      </c>
      <c r="I1838" s="24">
        <v>0</v>
      </c>
      <c r="J1838" s="24">
        <v>0</v>
      </c>
      <c r="K1838" s="36" t="s">
        <v>2275</v>
      </c>
    </row>
    <row r="1839" spans="1:11" s="51" customFormat="1" ht="93" customHeight="1" x14ac:dyDescent="0.25">
      <c r="A1839" s="22">
        <v>1526</v>
      </c>
      <c r="B1839" s="197"/>
      <c r="C1839" s="25" t="s">
        <v>2276</v>
      </c>
      <c r="D1839" s="27" t="s">
        <v>2277</v>
      </c>
      <c r="E1839" s="16" t="s">
        <v>12</v>
      </c>
      <c r="F1839" s="23" t="s">
        <v>2278</v>
      </c>
      <c r="G1839" s="23" t="s">
        <v>2279</v>
      </c>
      <c r="H1839" s="24">
        <v>0</v>
      </c>
      <c r="I1839" s="24">
        <v>0</v>
      </c>
      <c r="J1839" s="24">
        <v>0</v>
      </c>
      <c r="K1839" s="36" t="s">
        <v>2275</v>
      </c>
    </row>
    <row r="1840" spans="1:11" s="51" customFormat="1" ht="89.4" customHeight="1" x14ac:dyDescent="0.25">
      <c r="A1840" s="22">
        <v>1527</v>
      </c>
      <c r="B1840" s="197"/>
      <c r="C1840" s="25" t="s">
        <v>2280</v>
      </c>
      <c r="D1840" s="27" t="s">
        <v>2281</v>
      </c>
      <c r="E1840" s="16" t="s">
        <v>12</v>
      </c>
      <c r="F1840" s="23" t="s">
        <v>2282</v>
      </c>
      <c r="G1840" s="23" t="s">
        <v>2282</v>
      </c>
      <c r="H1840" s="24">
        <v>0</v>
      </c>
      <c r="I1840" s="24">
        <v>0</v>
      </c>
      <c r="J1840" s="24">
        <v>0</v>
      </c>
      <c r="K1840" s="36" t="s">
        <v>2275</v>
      </c>
    </row>
    <row r="1841" spans="1:11" s="51" customFormat="1" ht="88.2" customHeight="1" x14ac:dyDescent="0.25">
      <c r="A1841" s="22">
        <v>1528</v>
      </c>
      <c r="B1841" s="197"/>
      <c r="C1841" s="25" t="s">
        <v>2260</v>
      </c>
      <c r="D1841" s="34" t="s">
        <v>96</v>
      </c>
      <c r="E1841" s="16" t="s">
        <v>12</v>
      </c>
      <c r="F1841" s="23" t="s">
        <v>2283</v>
      </c>
      <c r="G1841" s="23" t="s">
        <v>2283</v>
      </c>
      <c r="H1841" s="24">
        <v>0</v>
      </c>
      <c r="I1841" s="24">
        <v>0</v>
      </c>
      <c r="J1841" s="24">
        <v>0</v>
      </c>
      <c r="K1841" s="77">
        <v>44866</v>
      </c>
    </row>
    <row r="1842" spans="1:11" s="51" customFormat="1" ht="31.2" customHeight="1" x14ac:dyDescent="0.25">
      <c r="A1842" s="245" t="s">
        <v>3179</v>
      </c>
      <c r="B1842" s="245"/>
      <c r="C1842" s="245"/>
      <c r="D1842" s="245"/>
      <c r="E1842" s="245"/>
      <c r="F1842" s="140" t="s">
        <v>2284</v>
      </c>
      <c r="G1842" s="140">
        <v>3544.22</v>
      </c>
      <c r="H1842" s="24">
        <v>0</v>
      </c>
      <c r="I1842" s="24">
        <v>0</v>
      </c>
      <c r="J1842" s="24">
        <v>0</v>
      </c>
      <c r="K1842" s="38"/>
    </row>
    <row r="1843" spans="1:11" s="51" customFormat="1" ht="38.4" customHeight="1" x14ac:dyDescent="0.25">
      <c r="A1843" s="22">
        <v>1529</v>
      </c>
      <c r="B1843" s="197" t="s">
        <v>3178</v>
      </c>
      <c r="C1843" s="25" t="s">
        <v>2285</v>
      </c>
      <c r="D1843" s="136" t="s">
        <v>1308</v>
      </c>
      <c r="E1843" s="142" t="s">
        <v>12</v>
      </c>
      <c r="F1843" s="24" t="s">
        <v>2286</v>
      </c>
      <c r="G1843" s="24">
        <v>0</v>
      </c>
      <c r="H1843" s="24" t="s">
        <v>2286</v>
      </c>
      <c r="I1843" s="24">
        <v>0</v>
      </c>
      <c r="J1843" s="24">
        <v>0</v>
      </c>
      <c r="K1843" s="77">
        <v>44835</v>
      </c>
    </row>
    <row r="1844" spans="1:11" s="51" customFormat="1" ht="62.4" customHeight="1" x14ac:dyDescent="0.25">
      <c r="A1844" s="22">
        <v>1530</v>
      </c>
      <c r="B1844" s="197"/>
      <c r="C1844" s="25" t="s">
        <v>2287</v>
      </c>
      <c r="D1844" s="136" t="s">
        <v>52</v>
      </c>
      <c r="E1844" s="142" t="s">
        <v>12</v>
      </c>
      <c r="F1844" s="24" t="s">
        <v>2288</v>
      </c>
      <c r="G1844" s="24">
        <v>0</v>
      </c>
      <c r="H1844" s="24" t="s">
        <v>2288</v>
      </c>
      <c r="I1844" s="24">
        <v>0</v>
      </c>
      <c r="J1844" s="24">
        <v>0</v>
      </c>
      <c r="K1844" s="77">
        <v>44866</v>
      </c>
    </row>
    <row r="1845" spans="1:11" s="51" customFormat="1" ht="70.2" customHeight="1" x14ac:dyDescent="0.25">
      <c r="A1845" s="22">
        <v>1531</v>
      </c>
      <c r="B1845" s="197"/>
      <c r="C1845" s="25" t="s">
        <v>2289</v>
      </c>
      <c r="D1845" s="136" t="s">
        <v>2290</v>
      </c>
      <c r="E1845" s="142" t="s">
        <v>12</v>
      </c>
      <c r="F1845" s="24">
        <v>150</v>
      </c>
      <c r="G1845" s="24">
        <v>0</v>
      </c>
      <c r="H1845" s="24">
        <v>150</v>
      </c>
      <c r="I1845" s="24">
        <v>0</v>
      </c>
      <c r="J1845" s="24">
        <v>0</v>
      </c>
      <c r="K1845" s="36" t="s">
        <v>2291</v>
      </c>
    </row>
    <row r="1846" spans="1:11" s="51" customFormat="1" ht="55.2" customHeight="1" x14ac:dyDescent="0.25">
      <c r="A1846" s="22">
        <v>1532</v>
      </c>
      <c r="B1846" s="197"/>
      <c r="C1846" s="25" t="s">
        <v>2292</v>
      </c>
      <c r="D1846" s="136" t="s">
        <v>2293</v>
      </c>
      <c r="E1846" s="142" t="s">
        <v>12</v>
      </c>
      <c r="F1846" s="24">
        <v>435.75</v>
      </c>
      <c r="G1846" s="24">
        <v>0</v>
      </c>
      <c r="H1846" s="24">
        <v>435.75</v>
      </c>
      <c r="I1846" s="24">
        <v>0</v>
      </c>
      <c r="J1846" s="24">
        <v>0</v>
      </c>
      <c r="K1846" s="36" t="s">
        <v>2291</v>
      </c>
    </row>
    <row r="1847" spans="1:11" s="51" customFormat="1" ht="91.2" customHeight="1" x14ac:dyDescent="0.25">
      <c r="A1847" s="22">
        <v>1533</v>
      </c>
      <c r="B1847" s="197"/>
      <c r="C1847" s="25" t="s">
        <v>2294</v>
      </c>
      <c r="D1847" s="136" t="s">
        <v>2295</v>
      </c>
      <c r="E1847" s="142" t="s">
        <v>12</v>
      </c>
      <c r="F1847" s="24">
        <v>1930</v>
      </c>
      <c r="G1847" s="24">
        <v>0</v>
      </c>
      <c r="H1847" s="24">
        <v>1930</v>
      </c>
      <c r="I1847" s="24">
        <v>0</v>
      </c>
      <c r="J1847" s="24">
        <v>0</v>
      </c>
      <c r="K1847" s="36" t="s">
        <v>2291</v>
      </c>
    </row>
    <row r="1848" spans="1:11" s="51" customFormat="1" ht="81" customHeight="1" x14ac:dyDescent="0.25">
      <c r="A1848" s="22">
        <v>1534</v>
      </c>
      <c r="B1848" s="197"/>
      <c r="C1848" s="25" t="s">
        <v>2296</v>
      </c>
      <c r="D1848" s="136" t="s">
        <v>2297</v>
      </c>
      <c r="E1848" s="142" t="s">
        <v>12</v>
      </c>
      <c r="F1848" s="24">
        <v>540</v>
      </c>
      <c r="G1848" s="24">
        <v>0</v>
      </c>
      <c r="H1848" s="24">
        <v>540</v>
      </c>
      <c r="I1848" s="24">
        <v>0</v>
      </c>
      <c r="J1848" s="24">
        <v>0</v>
      </c>
      <c r="K1848" s="36" t="s">
        <v>2291</v>
      </c>
    </row>
    <row r="1849" spans="1:11" s="51" customFormat="1" ht="93.6" customHeight="1" x14ac:dyDescent="0.25">
      <c r="A1849" s="22">
        <v>1535</v>
      </c>
      <c r="B1849" s="197"/>
      <c r="C1849" s="25" t="s">
        <v>2298</v>
      </c>
      <c r="D1849" s="136" t="s">
        <v>2277</v>
      </c>
      <c r="E1849" s="142" t="s">
        <v>12</v>
      </c>
      <c r="F1849" s="24">
        <v>900</v>
      </c>
      <c r="G1849" s="24">
        <v>0</v>
      </c>
      <c r="H1849" s="24">
        <v>900</v>
      </c>
      <c r="I1849" s="24">
        <v>0</v>
      </c>
      <c r="J1849" s="24">
        <v>0</v>
      </c>
      <c r="K1849" s="36" t="s">
        <v>2291</v>
      </c>
    </row>
    <row r="1850" spans="1:11" s="51" customFormat="1" ht="51.6" customHeight="1" x14ac:dyDescent="0.25">
      <c r="A1850" s="22">
        <v>1536</v>
      </c>
      <c r="B1850" s="197"/>
      <c r="C1850" s="25" t="s">
        <v>2299</v>
      </c>
      <c r="D1850" s="136" t="s">
        <v>2300</v>
      </c>
      <c r="E1850" s="142" t="s">
        <v>12</v>
      </c>
      <c r="F1850" s="24">
        <v>789</v>
      </c>
      <c r="G1850" s="24">
        <v>0</v>
      </c>
      <c r="H1850" s="24">
        <v>789</v>
      </c>
      <c r="I1850" s="24">
        <v>0</v>
      </c>
      <c r="J1850" s="24">
        <v>0</v>
      </c>
      <c r="K1850" s="77">
        <v>44986</v>
      </c>
    </row>
    <row r="1851" spans="1:11" s="51" customFormat="1" ht="81.599999999999994" customHeight="1" x14ac:dyDescent="0.25">
      <c r="A1851" s="22">
        <v>1537</v>
      </c>
      <c r="B1851" s="197"/>
      <c r="C1851" s="25" t="s">
        <v>2301</v>
      </c>
      <c r="D1851" s="136" t="s">
        <v>96</v>
      </c>
      <c r="E1851" s="142" t="s">
        <v>12</v>
      </c>
      <c r="F1851" s="24">
        <v>977.06</v>
      </c>
      <c r="G1851" s="24">
        <v>0</v>
      </c>
      <c r="H1851" s="24">
        <v>977.06</v>
      </c>
      <c r="I1851" s="24">
        <v>0</v>
      </c>
      <c r="J1851" s="24">
        <v>0</v>
      </c>
      <c r="K1851" s="77">
        <v>44986</v>
      </c>
    </row>
    <row r="1852" spans="1:11" s="51" customFormat="1" ht="30.6" customHeight="1" x14ac:dyDescent="0.25">
      <c r="A1852" s="245" t="s">
        <v>3180</v>
      </c>
      <c r="B1852" s="245"/>
      <c r="C1852" s="245"/>
      <c r="D1852" s="245"/>
      <c r="E1852" s="245"/>
      <c r="F1852" s="140">
        <v>6074.11</v>
      </c>
      <c r="G1852" s="151">
        <v>0</v>
      </c>
      <c r="H1852" s="151">
        <v>6074.11</v>
      </c>
      <c r="I1852" s="151">
        <v>0</v>
      </c>
      <c r="J1852" s="151">
        <v>0</v>
      </c>
      <c r="K1852" s="38"/>
    </row>
    <row r="1853" spans="1:11" s="51" customFormat="1" ht="42" customHeight="1" x14ac:dyDescent="0.25">
      <c r="A1853" s="22">
        <v>1538</v>
      </c>
      <c r="B1853" s="197" t="s">
        <v>3178</v>
      </c>
      <c r="C1853" s="25" t="s">
        <v>2302</v>
      </c>
      <c r="D1853" s="136" t="s">
        <v>1308</v>
      </c>
      <c r="E1853" s="142" t="s">
        <v>12</v>
      </c>
      <c r="F1853" s="24">
        <v>243.37</v>
      </c>
      <c r="G1853" s="24">
        <v>0</v>
      </c>
      <c r="H1853" s="24">
        <v>0</v>
      </c>
      <c r="I1853" s="24">
        <v>243.37</v>
      </c>
      <c r="J1853" s="24">
        <v>0</v>
      </c>
      <c r="K1853" s="77">
        <v>45200</v>
      </c>
    </row>
    <row r="1854" spans="1:11" s="51" customFormat="1" ht="69.599999999999994" customHeight="1" x14ac:dyDescent="0.25">
      <c r="A1854" s="22">
        <v>1539</v>
      </c>
      <c r="B1854" s="197"/>
      <c r="C1854" s="25" t="s">
        <v>2303</v>
      </c>
      <c r="D1854" s="136" t="s">
        <v>52</v>
      </c>
      <c r="E1854" s="142" t="s">
        <v>12</v>
      </c>
      <c r="F1854" s="24">
        <v>215.13</v>
      </c>
      <c r="G1854" s="24">
        <v>0</v>
      </c>
      <c r="H1854" s="24">
        <v>0</v>
      </c>
      <c r="I1854" s="24">
        <v>215.13</v>
      </c>
      <c r="J1854" s="24">
        <v>0</v>
      </c>
      <c r="K1854" s="77">
        <v>45200</v>
      </c>
    </row>
    <row r="1855" spans="1:11" s="51" customFormat="1" ht="56.4" customHeight="1" x14ac:dyDescent="0.25">
      <c r="A1855" s="22">
        <v>1540</v>
      </c>
      <c r="B1855" s="197"/>
      <c r="C1855" s="25" t="s">
        <v>2304</v>
      </c>
      <c r="D1855" s="136" t="s">
        <v>2305</v>
      </c>
      <c r="E1855" s="142" t="s">
        <v>12</v>
      </c>
      <c r="F1855" s="24">
        <v>360.15</v>
      </c>
      <c r="G1855" s="24">
        <v>0</v>
      </c>
      <c r="H1855" s="24">
        <v>0</v>
      </c>
      <c r="I1855" s="24">
        <v>360.15</v>
      </c>
      <c r="J1855" s="24">
        <v>0</v>
      </c>
      <c r="K1855" s="36" t="s">
        <v>2306</v>
      </c>
    </row>
    <row r="1856" spans="1:11" s="51" customFormat="1" ht="99" customHeight="1" x14ac:dyDescent="0.25">
      <c r="A1856" s="22">
        <v>1541</v>
      </c>
      <c r="B1856" s="197"/>
      <c r="C1856" s="25" t="s">
        <v>2307</v>
      </c>
      <c r="D1856" s="136" t="s">
        <v>2295</v>
      </c>
      <c r="E1856" s="142" t="s">
        <v>12</v>
      </c>
      <c r="F1856" s="24">
        <v>1930</v>
      </c>
      <c r="G1856" s="24">
        <v>0</v>
      </c>
      <c r="H1856" s="24">
        <v>0</v>
      </c>
      <c r="I1856" s="24">
        <v>1930</v>
      </c>
      <c r="J1856" s="24">
        <v>0</v>
      </c>
      <c r="K1856" s="36" t="s">
        <v>2306</v>
      </c>
    </row>
    <row r="1857" spans="1:11" s="51" customFormat="1" ht="95.4" customHeight="1" x14ac:dyDescent="0.25">
      <c r="A1857" s="22">
        <v>1542</v>
      </c>
      <c r="B1857" s="197"/>
      <c r="C1857" s="25" t="s">
        <v>2308</v>
      </c>
      <c r="D1857" s="136" t="s">
        <v>2277</v>
      </c>
      <c r="E1857" s="142" t="s">
        <v>12</v>
      </c>
      <c r="F1857" s="24">
        <v>900</v>
      </c>
      <c r="G1857" s="24">
        <v>0</v>
      </c>
      <c r="H1857" s="24">
        <v>0</v>
      </c>
      <c r="I1857" s="24">
        <v>900</v>
      </c>
      <c r="J1857" s="24">
        <v>0</v>
      </c>
      <c r="K1857" s="36" t="s">
        <v>2306</v>
      </c>
    </row>
    <row r="1858" spans="1:11" s="51" customFormat="1" ht="78.599999999999994" customHeight="1" x14ac:dyDescent="0.25">
      <c r="A1858" s="22">
        <v>1543</v>
      </c>
      <c r="B1858" s="197"/>
      <c r="C1858" s="25" t="s">
        <v>2309</v>
      </c>
      <c r="D1858" s="136" t="s">
        <v>2297</v>
      </c>
      <c r="E1858" s="142" t="s">
        <v>12</v>
      </c>
      <c r="F1858" s="24">
        <v>540</v>
      </c>
      <c r="G1858" s="24">
        <v>0</v>
      </c>
      <c r="H1858" s="24">
        <v>0</v>
      </c>
      <c r="I1858" s="24">
        <v>540</v>
      </c>
      <c r="J1858" s="24">
        <v>0</v>
      </c>
      <c r="K1858" s="36" t="s">
        <v>2306</v>
      </c>
    </row>
    <row r="1859" spans="1:11" s="51" customFormat="1" ht="64.8" customHeight="1" x14ac:dyDescent="0.25">
      <c r="A1859" s="22">
        <v>1544</v>
      </c>
      <c r="B1859" s="197"/>
      <c r="C1859" s="25" t="s">
        <v>2310</v>
      </c>
      <c r="D1859" s="136" t="s">
        <v>2290</v>
      </c>
      <c r="E1859" s="142" t="s">
        <v>12</v>
      </c>
      <c r="F1859" s="24">
        <v>150</v>
      </c>
      <c r="G1859" s="24">
        <v>0</v>
      </c>
      <c r="H1859" s="24">
        <v>0</v>
      </c>
      <c r="I1859" s="24">
        <v>150</v>
      </c>
      <c r="J1859" s="24">
        <v>0</v>
      </c>
      <c r="K1859" s="36" t="s">
        <v>2306</v>
      </c>
    </row>
    <row r="1860" spans="1:11" s="51" customFormat="1" ht="45" customHeight="1" x14ac:dyDescent="0.25">
      <c r="A1860" s="22">
        <v>1545</v>
      </c>
      <c r="B1860" s="197"/>
      <c r="C1860" s="25" t="s">
        <v>2311</v>
      </c>
      <c r="D1860" s="136" t="s">
        <v>2300</v>
      </c>
      <c r="E1860" s="142" t="s">
        <v>12</v>
      </c>
      <c r="F1860" s="24">
        <v>789</v>
      </c>
      <c r="G1860" s="24">
        <v>0</v>
      </c>
      <c r="H1860" s="24">
        <v>0</v>
      </c>
      <c r="I1860" s="24">
        <v>789</v>
      </c>
      <c r="J1860" s="24">
        <v>0</v>
      </c>
      <c r="K1860" s="77">
        <v>45352</v>
      </c>
    </row>
    <row r="1861" spans="1:11" s="51" customFormat="1" ht="78.599999999999994" customHeight="1" x14ac:dyDescent="0.25">
      <c r="A1861" s="22">
        <v>1546</v>
      </c>
      <c r="B1861" s="197"/>
      <c r="C1861" s="25" t="s">
        <v>2312</v>
      </c>
      <c r="D1861" s="136" t="s">
        <v>96</v>
      </c>
      <c r="E1861" s="142" t="s">
        <v>12</v>
      </c>
      <c r="F1861" s="24">
        <v>977.06</v>
      </c>
      <c r="G1861" s="24">
        <v>0</v>
      </c>
      <c r="H1861" s="24">
        <v>0</v>
      </c>
      <c r="I1861" s="24">
        <v>977.06</v>
      </c>
      <c r="J1861" s="24">
        <v>0</v>
      </c>
      <c r="K1861" s="77">
        <v>45352</v>
      </c>
    </row>
    <row r="1862" spans="1:11" s="51" customFormat="1" ht="27.6" customHeight="1" x14ac:dyDescent="0.25">
      <c r="A1862" s="245" t="s">
        <v>3180</v>
      </c>
      <c r="B1862" s="245"/>
      <c r="C1862" s="245"/>
      <c r="D1862" s="245"/>
      <c r="E1862" s="245"/>
      <c r="F1862" s="140">
        <v>6104.71</v>
      </c>
      <c r="G1862" s="151">
        <v>0</v>
      </c>
      <c r="H1862" s="151">
        <v>0</v>
      </c>
      <c r="I1862" s="151">
        <v>6104.71</v>
      </c>
      <c r="J1862" s="151">
        <v>0</v>
      </c>
      <c r="K1862" s="38"/>
    </row>
    <row r="1863" spans="1:11" s="51" customFormat="1" ht="72.599999999999994" customHeight="1" x14ac:dyDescent="0.25">
      <c r="A1863" s="129">
        <v>1547</v>
      </c>
      <c r="B1863" s="258" t="s">
        <v>3181</v>
      </c>
      <c r="C1863" s="130" t="s">
        <v>2313</v>
      </c>
      <c r="D1863" s="142" t="s">
        <v>2314</v>
      </c>
      <c r="E1863" s="142" t="s">
        <v>12</v>
      </c>
      <c r="F1863" s="69">
        <f>G1863+H1863+I1863</f>
        <v>9754.9186300000001</v>
      </c>
      <c r="G1863" s="69">
        <v>3754.9186299999997</v>
      </c>
      <c r="H1863" s="69">
        <v>6000</v>
      </c>
      <c r="I1863" s="69">
        <v>0</v>
      </c>
      <c r="J1863" s="78">
        <v>0</v>
      </c>
      <c r="K1863" s="37">
        <v>44774</v>
      </c>
    </row>
    <row r="1864" spans="1:11" s="51" customFormat="1" ht="45.6" customHeight="1" x14ac:dyDescent="0.25">
      <c r="A1864" s="129">
        <v>1548</v>
      </c>
      <c r="B1864" s="259"/>
      <c r="C1864" s="130" t="s">
        <v>2315</v>
      </c>
      <c r="D1864" s="142" t="s">
        <v>75</v>
      </c>
      <c r="E1864" s="142" t="s">
        <v>12</v>
      </c>
      <c r="F1864" s="69">
        <f t="shared" ref="F1864:F1905" si="114">G1864+H1864+I1864</f>
        <v>7869.05</v>
      </c>
      <c r="G1864" s="69">
        <v>7869.05</v>
      </c>
      <c r="H1864" s="69">
        <v>0</v>
      </c>
      <c r="I1864" s="69">
        <v>0</v>
      </c>
      <c r="J1864" s="78">
        <v>0</v>
      </c>
      <c r="K1864" s="37">
        <v>44743</v>
      </c>
    </row>
    <row r="1865" spans="1:11" s="51" customFormat="1" ht="117.6" customHeight="1" x14ac:dyDescent="0.25">
      <c r="A1865" s="129">
        <v>1549</v>
      </c>
      <c r="B1865" s="259"/>
      <c r="C1865" s="130" t="s">
        <v>2316</v>
      </c>
      <c r="D1865" s="142" t="s">
        <v>2317</v>
      </c>
      <c r="E1865" s="142" t="s">
        <v>12</v>
      </c>
      <c r="F1865" s="69">
        <f t="shared" si="114"/>
        <v>6358.8206399999999</v>
      </c>
      <c r="G1865" s="69">
        <v>0</v>
      </c>
      <c r="H1865" s="69">
        <v>3179.41032</v>
      </c>
      <c r="I1865" s="69">
        <v>3179.41032</v>
      </c>
      <c r="J1865" s="78">
        <v>0</v>
      </c>
      <c r="K1865" s="36">
        <v>44805</v>
      </c>
    </row>
    <row r="1866" spans="1:11" s="51" customFormat="1" ht="58.2" customHeight="1" x14ac:dyDescent="0.25">
      <c r="A1866" s="129">
        <v>1550</v>
      </c>
      <c r="B1866" s="259"/>
      <c r="C1866" s="130" t="s">
        <v>2318</v>
      </c>
      <c r="D1866" s="142" t="s">
        <v>2319</v>
      </c>
      <c r="E1866" s="142" t="s">
        <v>12</v>
      </c>
      <c r="F1866" s="69">
        <f t="shared" si="114"/>
        <v>525</v>
      </c>
      <c r="G1866" s="69">
        <v>0</v>
      </c>
      <c r="H1866" s="69">
        <v>525</v>
      </c>
      <c r="I1866" s="69">
        <v>0</v>
      </c>
      <c r="J1866" s="78">
        <v>0</v>
      </c>
      <c r="K1866" s="36">
        <v>44805</v>
      </c>
    </row>
    <row r="1867" spans="1:11" s="51" customFormat="1" ht="54.6" customHeight="1" x14ac:dyDescent="0.25">
      <c r="A1867" s="129">
        <v>1551</v>
      </c>
      <c r="B1867" s="259"/>
      <c r="C1867" s="130" t="s">
        <v>2320</v>
      </c>
      <c r="D1867" s="142" t="s">
        <v>2321</v>
      </c>
      <c r="E1867" s="142" t="s">
        <v>12</v>
      </c>
      <c r="F1867" s="69">
        <f t="shared" si="114"/>
        <v>649.2629300000001</v>
      </c>
      <c r="G1867" s="69">
        <v>649.2629300000001</v>
      </c>
      <c r="H1867" s="69">
        <v>0</v>
      </c>
      <c r="I1867" s="69">
        <v>0</v>
      </c>
      <c r="J1867" s="78">
        <v>0</v>
      </c>
      <c r="K1867" s="36">
        <v>44713</v>
      </c>
    </row>
    <row r="1868" spans="1:11" s="51" customFormat="1" ht="70.8" customHeight="1" x14ac:dyDescent="0.25">
      <c r="A1868" s="129">
        <v>1552</v>
      </c>
      <c r="B1868" s="259"/>
      <c r="C1868" s="130" t="s">
        <v>2322</v>
      </c>
      <c r="D1868" s="142" t="s">
        <v>2323</v>
      </c>
      <c r="E1868" s="142" t="s">
        <v>12</v>
      </c>
      <c r="F1868" s="69">
        <f t="shared" si="114"/>
        <v>189.32499999999999</v>
      </c>
      <c r="G1868" s="69">
        <v>189.32499999999999</v>
      </c>
      <c r="H1868" s="69">
        <v>0</v>
      </c>
      <c r="I1868" s="69">
        <v>0</v>
      </c>
      <c r="J1868" s="78">
        <v>0</v>
      </c>
      <c r="K1868" s="36">
        <v>44713</v>
      </c>
    </row>
    <row r="1869" spans="1:11" s="51" customFormat="1" ht="106.8" customHeight="1" x14ac:dyDescent="0.25">
      <c r="A1869" s="129">
        <v>1553</v>
      </c>
      <c r="B1869" s="259"/>
      <c r="C1869" s="130" t="s">
        <v>2324</v>
      </c>
      <c r="D1869" s="142" t="s">
        <v>2325</v>
      </c>
      <c r="E1869" s="142" t="s">
        <v>12</v>
      </c>
      <c r="F1869" s="69">
        <f t="shared" si="114"/>
        <v>4055.5169999999998</v>
      </c>
      <c r="G1869" s="69">
        <v>0</v>
      </c>
      <c r="H1869" s="69">
        <v>4055.5169999999998</v>
      </c>
      <c r="I1869" s="69">
        <v>0</v>
      </c>
      <c r="J1869" s="78">
        <v>0</v>
      </c>
      <c r="K1869" s="36">
        <v>44805</v>
      </c>
    </row>
    <row r="1870" spans="1:11" s="51" customFormat="1" ht="54" customHeight="1" x14ac:dyDescent="0.25">
      <c r="A1870" s="129">
        <v>1554</v>
      </c>
      <c r="B1870" s="259"/>
      <c r="C1870" s="130" t="s">
        <v>2326</v>
      </c>
      <c r="D1870" s="142" t="s">
        <v>2327</v>
      </c>
      <c r="E1870" s="142" t="s">
        <v>12</v>
      </c>
      <c r="F1870" s="69">
        <f t="shared" si="114"/>
        <v>3970.69868</v>
      </c>
      <c r="G1870" s="69">
        <v>3970.69868</v>
      </c>
      <c r="H1870" s="69">
        <v>0</v>
      </c>
      <c r="I1870" s="69">
        <v>0</v>
      </c>
      <c r="J1870" s="78">
        <v>0</v>
      </c>
      <c r="K1870" s="37">
        <v>44774</v>
      </c>
    </row>
    <row r="1871" spans="1:11" s="51" customFormat="1" ht="72.599999999999994" customHeight="1" x14ac:dyDescent="0.25">
      <c r="A1871" s="129">
        <v>1555</v>
      </c>
      <c r="B1871" s="259"/>
      <c r="C1871" s="130" t="s">
        <v>2328</v>
      </c>
      <c r="D1871" s="142" t="s">
        <v>2329</v>
      </c>
      <c r="E1871" s="142" t="s">
        <v>12</v>
      </c>
      <c r="F1871" s="69">
        <f t="shared" si="114"/>
        <v>1173.3333300000002</v>
      </c>
      <c r="G1871" s="69">
        <v>1173.3333300000002</v>
      </c>
      <c r="H1871" s="69">
        <v>0</v>
      </c>
      <c r="I1871" s="69">
        <v>0</v>
      </c>
      <c r="J1871" s="78">
        <v>0</v>
      </c>
      <c r="K1871" s="36">
        <v>44652</v>
      </c>
    </row>
    <row r="1872" spans="1:11" s="51" customFormat="1" ht="83.4" customHeight="1" x14ac:dyDescent="0.25">
      <c r="A1872" s="129">
        <v>1556</v>
      </c>
      <c r="B1872" s="259"/>
      <c r="C1872" s="130" t="s">
        <v>2330</v>
      </c>
      <c r="D1872" s="142" t="s">
        <v>2331</v>
      </c>
      <c r="E1872" s="142" t="s">
        <v>12</v>
      </c>
      <c r="F1872" s="69">
        <f t="shared" si="114"/>
        <v>135.726</v>
      </c>
      <c r="G1872" s="69">
        <v>135.726</v>
      </c>
      <c r="H1872" s="69">
        <v>0</v>
      </c>
      <c r="I1872" s="69">
        <v>0</v>
      </c>
      <c r="J1872" s="78">
        <v>0</v>
      </c>
      <c r="K1872" s="35">
        <v>44682</v>
      </c>
    </row>
    <row r="1873" spans="1:11" s="51" customFormat="1" ht="79.8" customHeight="1" x14ac:dyDescent="0.25">
      <c r="A1873" s="129">
        <v>1557</v>
      </c>
      <c r="B1873" s="259"/>
      <c r="C1873" s="130" t="s">
        <v>2332</v>
      </c>
      <c r="D1873" s="142" t="s">
        <v>2333</v>
      </c>
      <c r="E1873" s="142" t="s">
        <v>12</v>
      </c>
      <c r="F1873" s="69">
        <f t="shared" si="114"/>
        <v>261.49167</v>
      </c>
      <c r="G1873" s="69">
        <v>261.49167</v>
      </c>
      <c r="H1873" s="69">
        <v>0</v>
      </c>
      <c r="I1873" s="69">
        <v>0</v>
      </c>
      <c r="J1873" s="78">
        <v>0</v>
      </c>
      <c r="K1873" s="37">
        <v>44743</v>
      </c>
    </row>
    <row r="1874" spans="1:11" s="51" customFormat="1" ht="67.2" customHeight="1" x14ac:dyDescent="0.25">
      <c r="A1874" s="129">
        <v>1558</v>
      </c>
      <c r="B1874" s="259"/>
      <c r="C1874" s="130" t="s">
        <v>2334</v>
      </c>
      <c r="D1874" s="142" t="s">
        <v>2335</v>
      </c>
      <c r="E1874" s="142" t="s">
        <v>12</v>
      </c>
      <c r="F1874" s="69">
        <f t="shared" si="114"/>
        <v>148.59467000000001</v>
      </c>
      <c r="G1874" s="69">
        <v>148.59467000000001</v>
      </c>
      <c r="H1874" s="69">
        <v>0</v>
      </c>
      <c r="I1874" s="69">
        <v>0</v>
      </c>
      <c r="J1874" s="78">
        <v>0</v>
      </c>
      <c r="K1874" s="37">
        <v>44743</v>
      </c>
    </row>
    <row r="1875" spans="1:11" s="51" customFormat="1" ht="66" customHeight="1" x14ac:dyDescent="0.25">
      <c r="A1875" s="129">
        <v>1559</v>
      </c>
      <c r="B1875" s="259"/>
      <c r="C1875" s="130" t="s">
        <v>2336</v>
      </c>
      <c r="D1875" s="142" t="s">
        <v>2337</v>
      </c>
      <c r="E1875" s="142" t="s">
        <v>12</v>
      </c>
      <c r="F1875" s="69">
        <f t="shared" si="114"/>
        <v>315.78533000000004</v>
      </c>
      <c r="G1875" s="69">
        <v>315.78533000000004</v>
      </c>
      <c r="H1875" s="69">
        <v>0</v>
      </c>
      <c r="I1875" s="69">
        <v>0</v>
      </c>
      <c r="J1875" s="78">
        <v>0</v>
      </c>
      <c r="K1875" s="37">
        <v>44774</v>
      </c>
    </row>
    <row r="1876" spans="1:11" s="51" customFormat="1" ht="70.8" customHeight="1" x14ac:dyDescent="0.25">
      <c r="A1876" s="129">
        <v>1560</v>
      </c>
      <c r="B1876" s="259"/>
      <c r="C1876" s="130" t="s">
        <v>2338</v>
      </c>
      <c r="D1876" s="142" t="s">
        <v>2339</v>
      </c>
      <c r="E1876" s="142" t="s">
        <v>12</v>
      </c>
      <c r="F1876" s="69">
        <f t="shared" si="114"/>
        <v>376.30379999999997</v>
      </c>
      <c r="G1876" s="69">
        <v>376.30379999999997</v>
      </c>
      <c r="H1876" s="69">
        <v>0</v>
      </c>
      <c r="I1876" s="69">
        <v>0</v>
      </c>
      <c r="J1876" s="78">
        <v>0</v>
      </c>
      <c r="K1876" s="37">
        <v>44774</v>
      </c>
    </row>
    <row r="1877" spans="1:11" s="51" customFormat="1" ht="138" customHeight="1" x14ac:dyDescent="0.25">
      <c r="A1877" s="129">
        <v>1561</v>
      </c>
      <c r="B1877" s="259"/>
      <c r="C1877" s="130" t="s">
        <v>2340</v>
      </c>
      <c r="D1877" s="142" t="s">
        <v>2341</v>
      </c>
      <c r="E1877" s="142" t="s">
        <v>12</v>
      </c>
      <c r="F1877" s="69">
        <f t="shared" si="114"/>
        <v>282.18233000000004</v>
      </c>
      <c r="G1877" s="69">
        <v>282.18233000000004</v>
      </c>
      <c r="H1877" s="69">
        <v>0</v>
      </c>
      <c r="I1877" s="69">
        <v>0</v>
      </c>
      <c r="J1877" s="78">
        <v>0</v>
      </c>
      <c r="K1877" s="36">
        <v>44713</v>
      </c>
    </row>
    <row r="1878" spans="1:11" s="51" customFormat="1" ht="111" customHeight="1" x14ac:dyDescent="0.25">
      <c r="A1878" s="129">
        <v>1562</v>
      </c>
      <c r="B1878" s="259"/>
      <c r="C1878" s="130" t="s">
        <v>2342</v>
      </c>
      <c r="D1878" s="142" t="s">
        <v>2343</v>
      </c>
      <c r="E1878" s="142" t="s">
        <v>12</v>
      </c>
      <c r="F1878" s="69">
        <f t="shared" si="114"/>
        <v>999.99935999999991</v>
      </c>
      <c r="G1878" s="69">
        <v>888.88831999999991</v>
      </c>
      <c r="H1878" s="69">
        <v>111.11103999999999</v>
      </c>
      <c r="I1878" s="69">
        <v>0</v>
      </c>
      <c r="J1878" s="78">
        <v>0</v>
      </c>
      <c r="K1878" s="36">
        <v>44621</v>
      </c>
    </row>
    <row r="1879" spans="1:11" s="51" customFormat="1" ht="105.6" x14ac:dyDescent="0.25">
      <c r="A1879" s="129">
        <v>1563</v>
      </c>
      <c r="B1879" s="259"/>
      <c r="C1879" s="130" t="s">
        <v>2344</v>
      </c>
      <c r="D1879" s="142" t="s">
        <v>2345</v>
      </c>
      <c r="E1879" s="142" t="s">
        <v>12</v>
      </c>
      <c r="F1879" s="69">
        <f t="shared" si="114"/>
        <v>990</v>
      </c>
      <c r="G1879" s="69">
        <v>880</v>
      </c>
      <c r="H1879" s="69">
        <v>110</v>
      </c>
      <c r="I1879" s="69">
        <v>0</v>
      </c>
      <c r="J1879" s="78">
        <v>0</v>
      </c>
      <c r="K1879" s="37">
        <v>44593</v>
      </c>
    </row>
    <row r="1880" spans="1:11" s="51" customFormat="1" ht="93" customHeight="1" x14ac:dyDescent="0.25">
      <c r="A1880" s="129">
        <v>1564</v>
      </c>
      <c r="B1880" s="259"/>
      <c r="C1880" s="130" t="s">
        <v>2347</v>
      </c>
      <c r="D1880" s="142" t="s">
        <v>2348</v>
      </c>
      <c r="E1880" s="142" t="s">
        <v>271</v>
      </c>
      <c r="F1880" s="69">
        <f t="shared" si="114"/>
        <v>200.41067000000001</v>
      </c>
      <c r="G1880" s="69">
        <v>200.41067000000001</v>
      </c>
      <c r="H1880" s="69">
        <v>0</v>
      </c>
      <c r="I1880" s="69">
        <v>0</v>
      </c>
      <c r="J1880" s="78">
        <v>0</v>
      </c>
      <c r="K1880" s="35">
        <v>44682</v>
      </c>
    </row>
    <row r="1881" spans="1:11" s="51" customFormat="1" ht="89.4" customHeight="1" x14ac:dyDescent="0.25">
      <c r="A1881" s="129">
        <v>1565</v>
      </c>
      <c r="B1881" s="259"/>
      <c r="C1881" s="130" t="s">
        <v>2349</v>
      </c>
      <c r="D1881" s="142" t="s">
        <v>2350</v>
      </c>
      <c r="E1881" s="142" t="s">
        <v>12</v>
      </c>
      <c r="F1881" s="69">
        <f t="shared" si="114"/>
        <v>299.7</v>
      </c>
      <c r="G1881" s="69">
        <v>299.7</v>
      </c>
      <c r="H1881" s="69">
        <v>0</v>
      </c>
      <c r="I1881" s="69">
        <v>0</v>
      </c>
      <c r="J1881" s="78">
        <v>0</v>
      </c>
      <c r="K1881" s="37">
        <v>44743</v>
      </c>
    </row>
    <row r="1882" spans="1:11" s="51" customFormat="1" ht="64.2" customHeight="1" x14ac:dyDescent="0.25">
      <c r="A1882" s="129">
        <v>1566</v>
      </c>
      <c r="B1882" s="259"/>
      <c r="C1882" s="130" t="s">
        <v>2351</v>
      </c>
      <c r="D1882" s="142" t="s">
        <v>2352</v>
      </c>
      <c r="E1882" s="142" t="s">
        <v>12</v>
      </c>
      <c r="F1882" s="69">
        <f t="shared" si="114"/>
        <v>2034.9999599999999</v>
      </c>
      <c r="G1882" s="69">
        <v>0</v>
      </c>
      <c r="H1882" s="69">
        <v>1865.4166299999999</v>
      </c>
      <c r="I1882" s="69">
        <v>169.58332999999999</v>
      </c>
      <c r="J1882" s="78">
        <v>0</v>
      </c>
      <c r="K1882" s="36">
        <v>44805</v>
      </c>
    </row>
    <row r="1883" spans="1:11" s="51" customFormat="1" ht="73.8" customHeight="1" x14ac:dyDescent="0.25">
      <c r="A1883" s="129">
        <v>1567</v>
      </c>
      <c r="B1883" s="259"/>
      <c r="C1883" s="130" t="s">
        <v>2353</v>
      </c>
      <c r="D1883" s="142" t="s">
        <v>2354</v>
      </c>
      <c r="E1883" s="142" t="s">
        <v>12</v>
      </c>
      <c r="F1883" s="69">
        <f t="shared" si="114"/>
        <v>47.1</v>
      </c>
      <c r="G1883" s="69">
        <v>47.1</v>
      </c>
      <c r="H1883" s="69">
        <v>0</v>
      </c>
      <c r="I1883" s="69">
        <v>0</v>
      </c>
      <c r="J1883" s="78">
        <v>0</v>
      </c>
      <c r="K1883" s="37">
        <v>44835</v>
      </c>
    </row>
    <row r="1884" spans="1:11" s="51" customFormat="1" ht="66" x14ac:dyDescent="0.25">
      <c r="A1884" s="129">
        <v>1568</v>
      </c>
      <c r="B1884" s="259"/>
      <c r="C1884" s="130" t="s">
        <v>2355</v>
      </c>
      <c r="D1884" s="142" t="s">
        <v>2356</v>
      </c>
      <c r="E1884" s="142" t="s">
        <v>2357</v>
      </c>
      <c r="F1884" s="69">
        <f t="shared" si="114"/>
        <v>11553.762719999999</v>
      </c>
      <c r="G1884" s="69">
        <v>0</v>
      </c>
      <c r="H1884" s="69">
        <v>10711.60745</v>
      </c>
      <c r="I1884" s="69">
        <v>842.15526999999997</v>
      </c>
      <c r="J1884" s="78">
        <v>0</v>
      </c>
      <c r="K1884" s="36">
        <v>44805</v>
      </c>
    </row>
    <row r="1885" spans="1:11" s="51" customFormat="1" ht="111" customHeight="1" x14ac:dyDescent="0.25">
      <c r="A1885" s="129">
        <v>1569</v>
      </c>
      <c r="B1885" s="259"/>
      <c r="C1885" s="130" t="s">
        <v>2358</v>
      </c>
      <c r="D1885" s="142" t="s">
        <v>2325</v>
      </c>
      <c r="E1885" s="142" t="s">
        <v>12</v>
      </c>
      <c r="F1885" s="69">
        <f t="shared" si="114"/>
        <v>45.116999999999997</v>
      </c>
      <c r="G1885" s="69">
        <v>0</v>
      </c>
      <c r="H1885" s="69">
        <v>45.116999999999997</v>
      </c>
      <c r="I1885" s="69">
        <v>0</v>
      </c>
      <c r="J1885" s="78">
        <v>0</v>
      </c>
      <c r="K1885" s="37">
        <v>44835</v>
      </c>
    </row>
    <row r="1886" spans="1:11" s="51" customFormat="1" ht="109.2" customHeight="1" x14ac:dyDescent="0.25">
      <c r="A1886" s="129">
        <v>1570</v>
      </c>
      <c r="B1886" s="259"/>
      <c r="C1886" s="130" t="s">
        <v>2359</v>
      </c>
      <c r="D1886" s="142" t="s">
        <v>2360</v>
      </c>
      <c r="E1886" s="142" t="s">
        <v>12</v>
      </c>
      <c r="F1886" s="69">
        <f t="shared" si="114"/>
        <v>135.9</v>
      </c>
      <c r="G1886" s="69">
        <v>0</v>
      </c>
      <c r="H1886" s="69">
        <v>101.925</v>
      </c>
      <c r="I1886" s="69">
        <v>33.975000000000001</v>
      </c>
      <c r="J1886" s="78">
        <v>0</v>
      </c>
      <c r="K1886" s="37">
        <v>44835</v>
      </c>
    </row>
    <row r="1887" spans="1:11" s="51" customFormat="1" ht="66" x14ac:dyDescent="0.25">
      <c r="A1887" s="129">
        <v>1571</v>
      </c>
      <c r="B1887" s="259"/>
      <c r="C1887" s="130" t="s">
        <v>2361</v>
      </c>
      <c r="D1887" s="142" t="s">
        <v>2362</v>
      </c>
      <c r="E1887" s="142" t="s">
        <v>12</v>
      </c>
      <c r="F1887" s="69">
        <f t="shared" si="114"/>
        <v>134.50713000000002</v>
      </c>
      <c r="G1887" s="69">
        <v>134.50713000000002</v>
      </c>
      <c r="H1887" s="69">
        <v>0</v>
      </c>
      <c r="I1887" s="69">
        <v>0</v>
      </c>
      <c r="J1887" s="78">
        <v>0</v>
      </c>
      <c r="K1887" s="37">
        <v>44743</v>
      </c>
    </row>
    <row r="1888" spans="1:11" s="51" customFormat="1" ht="52.8" x14ac:dyDescent="0.25">
      <c r="A1888" s="129">
        <v>1572</v>
      </c>
      <c r="B1888" s="259"/>
      <c r="C1888" s="130" t="s">
        <v>2363</v>
      </c>
      <c r="D1888" s="142" t="s">
        <v>2314</v>
      </c>
      <c r="E1888" s="142" t="s">
        <v>12</v>
      </c>
      <c r="F1888" s="69">
        <f t="shared" si="114"/>
        <v>318.93890999999996</v>
      </c>
      <c r="G1888" s="69">
        <v>318.93890999999996</v>
      </c>
      <c r="H1888" s="69">
        <v>0</v>
      </c>
      <c r="I1888" s="69">
        <v>0</v>
      </c>
      <c r="J1888" s="78">
        <v>0</v>
      </c>
      <c r="K1888" s="35">
        <v>44682</v>
      </c>
    </row>
    <row r="1889" spans="1:11" s="51" customFormat="1" ht="26.4" x14ac:dyDescent="0.25">
      <c r="A1889" s="129">
        <v>1573</v>
      </c>
      <c r="B1889" s="259"/>
      <c r="C1889" s="130" t="s">
        <v>2364</v>
      </c>
      <c r="D1889" s="142" t="s">
        <v>2365</v>
      </c>
      <c r="E1889" s="142" t="s">
        <v>12</v>
      </c>
      <c r="F1889" s="69">
        <f t="shared" si="114"/>
        <v>93</v>
      </c>
      <c r="G1889" s="69">
        <v>93</v>
      </c>
      <c r="H1889" s="69">
        <v>0</v>
      </c>
      <c r="I1889" s="69">
        <v>0</v>
      </c>
      <c r="J1889" s="78">
        <v>0</v>
      </c>
      <c r="K1889" s="37">
        <v>44743</v>
      </c>
    </row>
    <row r="1890" spans="1:11" s="51" customFormat="1" ht="52.8" x14ac:dyDescent="0.25">
      <c r="A1890" s="129">
        <v>1574</v>
      </c>
      <c r="B1890" s="259"/>
      <c r="C1890" s="130" t="s">
        <v>2366</v>
      </c>
      <c r="D1890" s="142" t="s">
        <v>2367</v>
      </c>
      <c r="E1890" s="142" t="s">
        <v>12</v>
      </c>
      <c r="F1890" s="69">
        <f t="shared" si="114"/>
        <v>81.29204</v>
      </c>
      <c r="G1890" s="69">
        <v>81.29204</v>
      </c>
      <c r="H1890" s="69">
        <v>0</v>
      </c>
      <c r="I1890" s="69">
        <v>0</v>
      </c>
      <c r="J1890" s="78">
        <v>0</v>
      </c>
      <c r="K1890" s="35">
        <v>44682</v>
      </c>
    </row>
    <row r="1891" spans="1:11" s="51" customFormat="1" ht="93" customHeight="1" x14ac:dyDescent="0.25">
      <c r="A1891" s="129">
        <v>1575</v>
      </c>
      <c r="B1891" s="259"/>
      <c r="C1891" s="130" t="s">
        <v>2368</v>
      </c>
      <c r="D1891" s="142" t="s">
        <v>2325</v>
      </c>
      <c r="E1891" s="142" t="s">
        <v>12</v>
      </c>
      <c r="F1891" s="69">
        <f t="shared" si="114"/>
        <v>112.7925</v>
      </c>
      <c r="G1891" s="69">
        <v>0</v>
      </c>
      <c r="H1891" s="69">
        <v>112.7925</v>
      </c>
      <c r="I1891" s="69">
        <v>0</v>
      </c>
      <c r="J1891" s="78">
        <v>0</v>
      </c>
      <c r="K1891" s="36">
        <v>44805</v>
      </c>
    </row>
    <row r="1892" spans="1:11" s="51" customFormat="1" ht="66" x14ac:dyDescent="0.25">
      <c r="A1892" s="129">
        <v>1576</v>
      </c>
      <c r="B1892" s="259"/>
      <c r="C1892" s="130" t="s">
        <v>2369</v>
      </c>
      <c r="D1892" s="142" t="s">
        <v>96</v>
      </c>
      <c r="E1892" s="142" t="s">
        <v>12</v>
      </c>
      <c r="F1892" s="69">
        <f t="shared" si="114"/>
        <v>559.58262000000002</v>
      </c>
      <c r="G1892" s="69">
        <v>559.58262000000002</v>
      </c>
      <c r="H1892" s="69">
        <v>0</v>
      </c>
      <c r="I1892" s="69">
        <v>0</v>
      </c>
      <c r="J1892" s="78">
        <v>0</v>
      </c>
      <c r="K1892" s="35">
        <v>44682</v>
      </c>
    </row>
    <row r="1893" spans="1:11" s="51" customFormat="1" ht="26.4" x14ac:dyDescent="0.25">
      <c r="A1893" s="129">
        <v>1577</v>
      </c>
      <c r="B1893" s="259"/>
      <c r="C1893" s="130" t="s">
        <v>2370</v>
      </c>
      <c r="D1893" s="142" t="s">
        <v>2365</v>
      </c>
      <c r="E1893" s="142" t="s">
        <v>12</v>
      </c>
      <c r="F1893" s="69">
        <f t="shared" si="114"/>
        <v>120.8</v>
      </c>
      <c r="G1893" s="69">
        <v>120.8</v>
      </c>
      <c r="H1893" s="69">
        <v>0</v>
      </c>
      <c r="I1893" s="69">
        <v>0</v>
      </c>
      <c r="J1893" s="78">
        <v>0</v>
      </c>
      <c r="K1893" s="37">
        <v>44743</v>
      </c>
    </row>
    <row r="1894" spans="1:11" s="51" customFormat="1" ht="92.4" x14ac:dyDescent="0.25">
      <c r="A1894" s="129">
        <v>1578</v>
      </c>
      <c r="B1894" s="259"/>
      <c r="C1894" s="130" t="s">
        <v>2371</v>
      </c>
      <c r="D1894" s="142" t="s">
        <v>2325</v>
      </c>
      <c r="E1894" s="142" t="s">
        <v>12</v>
      </c>
      <c r="F1894" s="69">
        <f t="shared" si="114"/>
        <v>30.077999999999999</v>
      </c>
      <c r="G1894" s="69">
        <v>0</v>
      </c>
      <c r="H1894" s="69">
        <v>30.077999999999999</v>
      </c>
      <c r="I1894" s="69">
        <v>0</v>
      </c>
      <c r="J1894" s="78">
        <v>0</v>
      </c>
      <c r="K1894" s="36">
        <v>44805</v>
      </c>
    </row>
    <row r="1895" spans="1:11" s="51" customFormat="1" ht="52.8" x14ac:dyDescent="0.25">
      <c r="A1895" s="129">
        <v>1579</v>
      </c>
      <c r="B1895" s="259"/>
      <c r="C1895" s="130" t="s">
        <v>2372</v>
      </c>
      <c r="D1895" s="142" t="s">
        <v>2314</v>
      </c>
      <c r="E1895" s="142" t="s">
        <v>12</v>
      </c>
      <c r="F1895" s="69">
        <f t="shared" si="114"/>
        <v>330.24329999999998</v>
      </c>
      <c r="G1895" s="69">
        <v>330.24329999999998</v>
      </c>
      <c r="H1895" s="69">
        <v>0</v>
      </c>
      <c r="I1895" s="69">
        <v>0</v>
      </c>
      <c r="J1895" s="78">
        <v>0</v>
      </c>
      <c r="K1895" s="35">
        <v>44682</v>
      </c>
    </row>
    <row r="1896" spans="1:11" s="51" customFormat="1" ht="26.4" x14ac:dyDescent="0.25">
      <c r="A1896" s="129">
        <v>1580</v>
      </c>
      <c r="B1896" s="259"/>
      <c r="C1896" s="130" t="s">
        <v>2373</v>
      </c>
      <c r="D1896" s="142" t="s">
        <v>2365</v>
      </c>
      <c r="E1896" s="142" t="s">
        <v>12</v>
      </c>
      <c r="F1896" s="69">
        <f t="shared" si="114"/>
        <v>144.80000000000001</v>
      </c>
      <c r="G1896" s="69">
        <v>144.80000000000001</v>
      </c>
      <c r="H1896" s="69">
        <v>0</v>
      </c>
      <c r="I1896" s="69">
        <v>0</v>
      </c>
      <c r="J1896" s="78">
        <v>0</v>
      </c>
      <c r="K1896" s="37">
        <v>44743</v>
      </c>
    </row>
    <row r="1897" spans="1:11" s="51" customFormat="1" ht="92.4" x14ac:dyDescent="0.25">
      <c r="A1897" s="129">
        <v>1581</v>
      </c>
      <c r="B1897" s="259"/>
      <c r="C1897" s="130" t="s">
        <v>2374</v>
      </c>
      <c r="D1897" s="142" t="s">
        <v>2325</v>
      </c>
      <c r="E1897" s="142" t="s">
        <v>12</v>
      </c>
      <c r="F1897" s="69">
        <f t="shared" si="114"/>
        <v>22.558499999999999</v>
      </c>
      <c r="G1897" s="69">
        <v>0</v>
      </c>
      <c r="H1897" s="69">
        <v>22.558499999999999</v>
      </c>
      <c r="I1897" s="69">
        <v>0</v>
      </c>
      <c r="J1897" s="78">
        <v>0</v>
      </c>
      <c r="K1897" s="36">
        <v>44805</v>
      </c>
    </row>
    <row r="1898" spans="1:11" s="51" customFormat="1" ht="52.8" x14ac:dyDescent="0.25">
      <c r="A1898" s="129">
        <v>1582</v>
      </c>
      <c r="B1898" s="259"/>
      <c r="C1898" s="130" t="s">
        <v>2375</v>
      </c>
      <c r="D1898" s="142" t="s">
        <v>2314</v>
      </c>
      <c r="E1898" s="142" t="s">
        <v>12</v>
      </c>
      <c r="F1898" s="69">
        <f t="shared" si="114"/>
        <v>2558.25</v>
      </c>
      <c r="G1898" s="69">
        <v>2558.25</v>
      </c>
      <c r="H1898" s="69">
        <v>0</v>
      </c>
      <c r="I1898" s="69">
        <v>0</v>
      </c>
      <c r="J1898" s="78">
        <v>0</v>
      </c>
      <c r="K1898" s="35">
        <v>44682</v>
      </c>
    </row>
    <row r="1899" spans="1:11" s="51" customFormat="1" ht="26.4" x14ac:dyDescent="0.25">
      <c r="A1899" s="129">
        <v>1583</v>
      </c>
      <c r="B1899" s="259"/>
      <c r="C1899" s="130" t="s">
        <v>2376</v>
      </c>
      <c r="D1899" s="142" t="s">
        <v>2377</v>
      </c>
      <c r="E1899" s="142" t="s">
        <v>12</v>
      </c>
      <c r="F1899" s="69">
        <f t="shared" si="114"/>
        <v>2119.92</v>
      </c>
      <c r="G1899" s="69">
        <v>0</v>
      </c>
      <c r="H1899" s="69">
        <v>1939.8720000000001</v>
      </c>
      <c r="I1899" s="69">
        <v>180.048</v>
      </c>
      <c r="J1899" s="78">
        <v>0</v>
      </c>
      <c r="K1899" s="36">
        <v>44805</v>
      </c>
    </row>
    <row r="1900" spans="1:11" s="51" customFormat="1" ht="39.6" x14ac:dyDescent="0.25">
      <c r="A1900" s="129">
        <v>1584</v>
      </c>
      <c r="B1900" s="259"/>
      <c r="C1900" s="130" t="s">
        <v>2378</v>
      </c>
      <c r="D1900" s="142" t="s">
        <v>2017</v>
      </c>
      <c r="E1900" s="142" t="s">
        <v>12</v>
      </c>
      <c r="F1900" s="69">
        <f t="shared" si="114"/>
        <v>164.13372999999999</v>
      </c>
      <c r="G1900" s="69">
        <v>0</v>
      </c>
      <c r="H1900" s="69">
        <v>155.70038</v>
      </c>
      <c r="I1900" s="69">
        <v>8.4333500000000008</v>
      </c>
      <c r="J1900" s="78">
        <v>0</v>
      </c>
      <c r="K1900" s="36">
        <v>44805</v>
      </c>
    </row>
    <row r="1901" spans="1:11" s="51" customFormat="1" ht="26.4" x14ac:dyDescent="0.25">
      <c r="A1901" s="129">
        <v>1585</v>
      </c>
      <c r="B1901" s="259"/>
      <c r="C1901" s="130" t="s">
        <v>2379</v>
      </c>
      <c r="D1901" s="142" t="s">
        <v>2380</v>
      </c>
      <c r="E1901" s="142" t="s">
        <v>12</v>
      </c>
      <c r="F1901" s="69">
        <f t="shared" si="114"/>
        <v>2063.6571800000002</v>
      </c>
      <c r="G1901" s="69">
        <v>0</v>
      </c>
      <c r="H1901" s="69">
        <v>1904.08502</v>
      </c>
      <c r="I1901" s="69">
        <v>159.57216</v>
      </c>
      <c r="J1901" s="78">
        <v>0</v>
      </c>
      <c r="K1901" s="36">
        <v>44805</v>
      </c>
    </row>
    <row r="1902" spans="1:11" s="51" customFormat="1" ht="26.4" x14ac:dyDescent="0.25">
      <c r="A1902" s="129">
        <v>1586</v>
      </c>
      <c r="B1902" s="259"/>
      <c r="C1902" s="130" t="s">
        <v>2381</v>
      </c>
      <c r="D1902" s="142" t="s">
        <v>2365</v>
      </c>
      <c r="E1902" s="142" t="s">
        <v>12</v>
      </c>
      <c r="F1902" s="69">
        <f t="shared" si="114"/>
        <v>609.9</v>
      </c>
      <c r="G1902" s="69">
        <v>609.9</v>
      </c>
      <c r="H1902" s="69">
        <v>0</v>
      </c>
      <c r="I1902" s="69">
        <v>0</v>
      </c>
      <c r="J1902" s="78">
        <v>0</v>
      </c>
      <c r="K1902" s="36">
        <v>44713</v>
      </c>
    </row>
    <row r="1903" spans="1:11" s="51" customFormat="1" ht="118.8" x14ac:dyDescent="0.25">
      <c r="A1903" s="129">
        <v>1587</v>
      </c>
      <c r="B1903" s="259"/>
      <c r="C1903" s="130" t="s">
        <v>2382</v>
      </c>
      <c r="D1903" s="142" t="s">
        <v>2383</v>
      </c>
      <c r="E1903" s="142" t="s">
        <v>12</v>
      </c>
      <c r="F1903" s="69">
        <f t="shared" si="114"/>
        <v>703.08</v>
      </c>
      <c r="G1903" s="69">
        <v>703.08</v>
      </c>
      <c r="H1903" s="69">
        <v>0</v>
      </c>
      <c r="I1903" s="69">
        <v>0</v>
      </c>
      <c r="J1903" s="78">
        <v>0</v>
      </c>
      <c r="K1903" s="37">
        <v>44774</v>
      </c>
    </row>
    <row r="1904" spans="1:11" s="51" customFormat="1" ht="92.4" x14ac:dyDescent="0.25">
      <c r="A1904" s="129">
        <v>1588</v>
      </c>
      <c r="B1904" s="259"/>
      <c r="C1904" s="130" t="s">
        <v>2384</v>
      </c>
      <c r="D1904" s="142" t="s">
        <v>2385</v>
      </c>
      <c r="E1904" s="142" t="s">
        <v>12</v>
      </c>
      <c r="F1904" s="69">
        <f t="shared" si="114"/>
        <v>385</v>
      </c>
      <c r="G1904" s="69">
        <v>385</v>
      </c>
      <c r="H1904" s="69">
        <v>0</v>
      </c>
      <c r="I1904" s="69">
        <v>0</v>
      </c>
      <c r="J1904" s="78">
        <v>0</v>
      </c>
      <c r="K1904" s="37">
        <v>44774</v>
      </c>
    </row>
    <row r="1905" spans="1:11" s="51" customFormat="1" ht="79.2" x14ac:dyDescent="0.25">
      <c r="A1905" s="129">
        <v>1589</v>
      </c>
      <c r="B1905" s="260"/>
      <c r="C1905" s="130" t="s">
        <v>2386</v>
      </c>
      <c r="D1905" s="142" t="s">
        <v>2387</v>
      </c>
      <c r="E1905" s="142" t="s">
        <v>12</v>
      </c>
      <c r="F1905" s="69">
        <f t="shared" si="114"/>
        <v>308.74167</v>
      </c>
      <c r="G1905" s="69">
        <v>308.74167</v>
      </c>
      <c r="H1905" s="69">
        <v>0</v>
      </c>
      <c r="I1905" s="69">
        <v>0</v>
      </c>
      <c r="J1905" s="78">
        <v>0</v>
      </c>
      <c r="K1905" s="37">
        <v>44835</v>
      </c>
    </row>
    <row r="1906" spans="1:11" s="51" customFormat="1" ht="14.4" customHeight="1" x14ac:dyDescent="0.25">
      <c r="A1906" s="261" t="s">
        <v>2388</v>
      </c>
      <c r="B1906" s="261"/>
      <c r="C1906" s="261"/>
      <c r="D1906" s="261"/>
      <c r="E1906" s="261"/>
      <c r="F1906" s="79">
        <f>SUM(F1863:F1905)</f>
        <v>63234.275300000023</v>
      </c>
      <c r="G1906" s="79">
        <f t="shared" ref="G1906:J1906" si="115">SUM(G1863:G1905)</f>
        <v>27790.907030000002</v>
      </c>
      <c r="H1906" s="79">
        <f t="shared" si="115"/>
        <v>30870.190839999992</v>
      </c>
      <c r="I1906" s="79">
        <f t="shared" si="115"/>
        <v>4573.1774299999997</v>
      </c>
      <c r="J1906" s="79">
        <f t="shared" si="115"/>
        <v>0</v>
      </c>
      <c r="K1906" s="80"/>
    </row>
    <row r="1907" spans="1:11" s="51" customFormat="1" ht="52.8" x14ac:dyDescent="0.25">
      <c r="A1907" s="129">
        <v>1590</v>
      </c>
      <c r="B1907" s="258" t="s">
        <v>3181</v>
      </c>
      <c r="C1907" s="130" t="s">
        <v>2389</v>
      </c>
      <c r="D1907" s="142" t="s">
        <v>2314</v>
      </c>
      <c r="E1907" s="142" t="s">
        <v>12</v>
      </c>
      <c r="F1907" s="69">
        <f>G1907+H1907+I1907</f>
        <v>9754.9186300000001</v>
      </c>
      <c r="G1907" s="69">
        <v>0</v>
      </c>
      <c r="H1907" s="69">
        <v>3754.9186299999997</v>
      </c>
      <c r="I1907" s="69">
        <v>6000</v>
      </c>
      <c r="J1907" s="78">
        <v>0</v>
      </c>
      <c r="K1907" s="36">
        <v>45047</v>
      </c>
    </row>
    <row r="1908" spans="1:11" s="51" customFormat="1" ht="39.6" x14ac:dyDescent="0.25">
      <c r="A1908" s="129">
        <v>1591</v>
      </c>
      <c r="B1908" s="259"/>
      <c r="C1908" s="130" t="s">
        <v>2390</v>
      </c>
      <c r="D1908" s="142" t="s">
        <v>2319</v>
      </c>
      <c r="E1908" s="142" t="s">
        <v>12</v>
      </c>
      <c r="F1908" s="69">
        <f t="shared" ref="F1908:F1961" si="116">G1908+H1908+I1908</f>
        <v>525</v>
      </c>
      <c r="G1908" s="69">
        <v>0</v>
      </c>
      <c r="H1908" s="69">
        <v>0</v>
      </c>
      <c r="I1908" s="69">
        <v>525</v>
      </c>
      <c r="J1908" s="78">
        <v>0</v>
      </c>
      <c r="K1908" s="37">
        <v>45170</v>
      </c>
    </row>
    <row r="1909" spans="1:11" s="51" customFormat="1" ht="51" customHeight="1" x14ac:dyDescent="0.25">
      <c r="A1909" s="129">
        <v>1592</v>
      </c>
      <c r="B1909" s="259"/>
      <c r="C1909" s="130" t="s">
        <v>2391</v>
      </c>
      <c r="D1909" s="142" t="s">
        <v>2321</v>
      </c>
      <c r="E1909" s="142" t="s">
        <v>12</v>
      </c>
      <c r="F1909" s="69">
        <f t="shared" si="116"/>
        <v>649.2629300000001</v>
      </c>
      <c r="G1909" s="69">
        <v>0</v>
      </c>
      <c r="H1909" s="69">
        <v>649.2629300000001</v>
      </c>
      <c r="I1909" s="69">
        <v>0</v>
      </c>
      <c r="J1909" s="78">
        <v>0</v>
      </c>
      <c r="K1909" s="36">
        <v>45078</v>
      </c>
    </row>
    <row r="1910" spans="1:11" s="51" customFormat="1" ht="52.8" x14ac:dyDescent="0.25">
      <c r="A1910" s="129">
        <v>1593</v>
      </c>
      <c r="B1910" s="259"/>
      <c r="C1910" s="130" t="s">
        <v>2392</v>
      </c>
      <c r="D1910" s="142" t="s">
        <v>2323</v>
      </c>
      <c r="E1910" s="142" t="s">
        <v>12</v>
      </c>
      <c r="F1910" s="69">
        <f t="shared" si="116"/>
        <v>189.32499999999999</v>
      </c>
      <c r="G1910" s="69">
        <v>0</v>
      </c>
      <c r="H1910" s="69">
        <v>189.32499999999999</v>
      </c>
      <c r="I1910" s="69">
        <v>0</v>
      </c>
      <c r="J1910" s="78">
        <v>0</v>
      </c>
      <c r="K1910" s="36">
        <v>45078</v>
      </c>
    </row>
    <row r="1911" spans="1:11" s="51" customFormat="1" ht="92.4" x14ac:dyDescent="0.25">
      <c r="A1911" s="129">
        <v>1594</v>
      </c>
      <c r="B1911" s="259"/>
      <c r="C1911" s="130" t="s">
        <v>2393</v>
      </c>
      <c r="D1911" s="142" t="s">
        <v>2325</v>
      </c>
      <c r="E1911" s="142" t="s">
        <v>12</v>
      </c>
      <c r="F1911" s="69">
        <f t="shared" si="116"/>
        <v>4055.5169999999998</v>
      </c>
      <c r="G1911" s="69">
        <v>0</v>
      </c>
      <c r="H1911" s="69">
        <v>0</v>
      </c>
      <c r="I1911" s="69">
        <v>4055.5169999999998</v>
      </c>
      <c r="J1911" s="78">
        <v>0</v>
      </c>
      <c r="K1911" s="37">
        <v>45170</v>
      </c>
    </row>
    <row r="1912" spans="1:11" s="51" customFormat="1" ht="66" x14ac:dyDescent="0.25">
      <c r="A1912" s="129">
        <v>1595</v>
      </c>
      <c r="B1912" s="259"/>
      <c r="C1912" s="130" t="s">
        <v>2394</v>
      </c>
      <c r="D1912" s="142" t="s">
        <v>2327</v>
      </c>
      <c r="E1912" s="142" t="s">
        <v>12</v>
      </c>
      <c r="F1912" s="69">
        <f t="shared" si="116"/>
        <v>3340.1486199999999</v>
      </c>
      <c r="G1912" s="69">
        <v>0</v>
      </c>
      <c r="H1912" s="69">
        <v>3340.1486199999999</v>
      </c>
      <c r="I1912" s="69">
        <v>0</v>
      </c>
      <c r="J1912" s="78">
        <v>0</v>
      </c>
      <c r="K1912" s="37">
        <v>45139</v>
      </c>
    </row>
    <row r="1913" spans="1:11" s="51" customFormat="1" ht="52.8" x14ac:dyDescent="0.25">
      <c r="A1913" s="129">
        <v>1596</v>
      </c>
      <c r="B1913" s="259"/>
      <c r="C1913" s="130" t="s">
        <v>2395</v>
      </c>
      <c r="D1913" s="142" t="s">
        <v>2329</v>
      </c>
      <c r="E1913" s="142" t="s">
        <v>12</v>
      </c>
      <c r="F1913" s="69">
        <f t="shared" si="116"/>
        <v>1173.3333300000002</v>
      </c>
      <c r="G1913" s="69">
        <v>0</v>
      </c>
      <c r="H1913" s="69">
        <v>1173.3333300000002</v>
      </c>
      <c r="I1913" s="69">
        <v>0</v>
      </c>
      <c r="J1913" s="78">
        <v>0</v>
      </c>
      <c r="K1913" s="36">
        <v>45017</v>
      </c>
    </row>
    <row r="1914" spans="1:11" s="51" customFormat="1" ht="66" x14ac:dyDescent="0.25">
      <c r="A1914" s="129">
        <v>1597</v>
      </c>
      <c r="B1914" s="259"/>
      <c r="C1914" s="130" t="s">
        <v>2396</v>
      </c>
      <c r="D1914" s="142" t="s">
        <v>2331</v>
      </c>
      <c r="E1914" s="142" t="s">
        <v>12</v>
      </c>
      <c r="F1914" s="69">
        <f t="shared" si="116"/>
        <v>135.726</v>
      </c>
      <c r="G1914" s="69">
        <v>0</v>
      </c>
      <c r="H1914" s="69">
        <v>135.726</v>
      </c>
      <c r="I1914" s="69">
        <v>0</v>
      </c>
      <c r="J1914" s="78">
        <v>0</v>
      </c>
      <c r="K1914" s="36">
        <v>45047</v>
      </c>
    </row>
    <row r="1915" spans="1:11" s="51" customFormat="1" ht="66" x14ac:dyDescent="0.25">
      <c r="A1915" s="129">
        <v>1598</v>
      </c>
      <c r="B1915" s="259"/>
      <c r="C1915" s="130" t="s">
        <v>2397</v>
      </c>
      <c r="D1915" s="142" t="s">
        <v>2333</v>
      </c>
      <c r="E1915" s="142" t="s">
        <v>12</v>
      </c>
      <c r="F1915" s="69">
        <f t="shared" si="116"/>
        <v>261.49167</v>
      </c>
      <c r="G1915" s="69">
        <v>0</v>
      </c>
      <c r="H1915" s="69">
        <v>261.49167</v>
      </c>
      <c r="I1915" s="69">
        <v>0</v>
      </c>
      <c r="J1915" s="78">
        <v>0</v>
      </c>
      <c r="K1915" s="37">
        <v>45108</v>
      </c>
    </row>
    <row r="1916" spans="1:11" s="51" customFormat="1" ht="52.8" x14ac:dyDescent="0.25">
      <c r="A1916" s="129">
        <v>1599</v>
      </c>
      <c r="B1916" s="259"/>
      <c r="C1916" s="130" t="s">
        <v>2398</v>
      </c>
      <c r="D1916" s="142" t="s">
        <v>2335</v>
      </c>
      <c r="E1916" s="142" t="s">
        <v>12</v>
      </c>
      <c r="F1916" s="69">
        <f t="shared" si="116"/>
        <v>148.59467000000001</v>
      </c>
      <c r="G1916" s="69">
        <v>0</v>
      </c>
      <c r="H1916" s="69">
        <v>148.59467000000001</v>
      </c>
      <c r="I1916" s="69">
        <v>0</v>
      </c>
      <c r="J1916" s="78">
        <v>0</v>
      </c>
      <c r="K1916" s="37">
        <v>45108</v>
      </c>
    </row>
    <row r="1917" spans="1:11" s="51" customFormat="1" ht="52.8" x14ac:dyDescent="0.25">
      <c r="A1917" s="129">
        <v>1600</v>
      </c>
      <c r="B1917" s="259"/>
      <c r="C1917" s="130" t="s">
        <v>2399</v>
      </c>
      <c r="D1917" s="142" t="s">
        <v>2337</v>
      </c>
      <c r="E1917" s="142" t="s">
        <v>12</v>
      </c>
      <c r="F1917" s="69">
        <f t="shared" si="116"/>
        <v>315.78533000000004</v>
      </c>
      <c r="G1917" s="69">
        <v>0</v>
      </c>
      <c r="H1917" s="69">
        <v>315.78533000000004</v>
      </c>
      <c r="I1917" s="69">
        <v>0</v>
      </c>
      <c r="J1917" s="78">
        <v>0</v>
      </c>
      <c r="K1917" s="37">
        <v>45139</v>
      </c>
    </row>
    <row r="1918" spans="1:11" s="51" customFormat="1" ht="52.8" x14ac:dyDescent="0.25">
      <c r="A1918" s="129">
        <v>1601</v>
      </c>
      <c r="B1918" s="259"/>
      <c r="C1918" s="130" t="s">
        <v>2400</v>
      </c>
      <c r="D1918" s="142" t="s">
        <v>2339</v>
      </c>
      <c r="E1918" s="142" t="s">
        <v>12</v>
      </c>
      <c r="F1918" s="69">
        <f t="shared" si="116"/>
        <v>376.30379999999997</v>
      </c>
      <c r="G1918" s="69">
        <v>0</v>
      </c>
      <c r="H1918" s="69">
        <v>376.30379999999997</v>
      </c>
      <c r="I1918" s="69">
        <v>0</v>
      </c>
      <c r="J1918" s="78">
        <v>0</v>
      </c>
      <c r="K1918" s="37">
        <v>45139</v>
      </c>
    </row>
    <row r="1919" spans="1:11" s="51" customFormat="1" ht="118.8" x14ac:dyDescent="0.25">
      <c r="A1919" s="129">
        <v>1602</v>
      </c>
      <c r="B1919" s="259"/>
      <c r="C1919" s="130" t="s">
        <v>2401</v>
      </c>
      <c r="D1919" s="142" t="s">
        <v>2341</v>
      </c>
      <c r="E1919" s="142" t="s">
        <v>12</v>
      </c>
      <c r="F1919" s="69">
        <f t="shared" si="116"/>
        <v>282.18233000000004</v>
      </c>
      <c r="G1919" s="69">
        <v>0</v>
      </c>
      <c r="H1919" s="69">
        <v>282.18233000000004</v>
      </c>
      <c r="I1919" s="69">
        <v>0</v>
      </c>
      <c r="J1919" s="78">
        <v>0</v>
      </c>
      <c r="K1919" s="36">
        <v>45078</v>
      </c>
    </row>
    <row r="1920" spans="1:11" s="51" customFormat="1" ht="52.8" x14ac:dyDescent="0.25">
      <c r="A1920" s="129">
        <v>1603</v>
      </c>
      <c r="B1920" s="259"/>
      <c r="C1920" s="130" t="s">
        <v>2402</v>
      </c>
      <c r="D1920" s="142" t="s">
        <v>2403</v>
      </c>
      <c r="E1920" s="142" t="s">
        <v>12</v>
      </c>
      <c r="F1920" s="69">
        <f t="shared" si="116"/>
        <v>2198.3799599999998</v>
      </c>
      <c r="G1920" s="69">
        <v>0</v>
      </c>
      <c r="H1920" s="69">
        <v>0</v>
      </c>
      <c r="I1920" s="69">
        <v>2198.3799599999998</v>
      </c>
      <c r="J1920" s="78">
        <v>0</v>
      </c>
      <c r="K1920" s="37">
        <v>45170</v>
      </c>
    </row>
    <row r="1921" spans="1:11" s="51" customFormat="1" ht="51" customHeight="1" x14ac:dyDescent="0.25">
      <c r="A1921" s="129">
        <v>1604</v>
      </c>
      <c r="B1921" s="259"/>
      <c r="C1921" s="130" t="s">
        <v>2404</v>
      </c>
      <c r="D1921" s="142" t="s">
        <v>2405</v>
      </c>
      <c r="E1921" s="142" t="s">
        <v>12</v>
      </c>
      <c r="F1921" s="69">
        <f t="shared" si="116"/>
        <v>17542.640039999998</v>
      </c>
      <c r="G1921" s="69">
        <v>0</v>
      </c>
      <c r="H1921" s="69">
        <v>0</v>
      </c>
      <c r="I1921" s="69">
        <v>17542.640039999998</v>
      </c>
      <c r="J1921" s="78">
        <v>0</v>
      </c>
      <c r="K1921" s="37">
        <v>45170</v>
      </c>
    </row>
    <row r="1922" spans="1:11" s="51" customFormat="1" ht="51" customHeight="1" x14ac:dyDescent="0.25">
      <c r="A1922" s="129">
        <v>1605</v>
      </c>
      <c r="B1922" s="259"/>
      <c r="C1922" s="130" t="s">
        <v>2406</v>
      </c>
      <c r="D1922" s="142" t="s">
        <v>75</v>
      </c>
      <c r="E1922" s="142" t="s">
        <v>12</v>
      </c>
      <c r="F1922" s="69">
        <f t="shared" si="116"/>
        <v>3999.5</v>
      </c>
      <c r="G1922" s="69">
        <v>0</v>
      </c>
      <c r="H1922" s="69">
        <v>3999.5</v>
      </c>
      <c r="I1922" s="69">
        <v>0</v>
      </c>
      <c r="J1922" s="78">
        <v>0</v>
      </c>
      <c r="K1922" s="36">
        <v>45047</v>
      </c>
    </row>
    <row r="1923" spans="1:11" s="51" customFormat="1" ht="105.6" x14ac:dyDescent="0.25">
      <c r="A1923" s="129">
        <v>1606</v>
      </c>
      <c r="B1923" s="259"/>
      <c r="C1923" s="130" t="s">
        <v>2407</v>
      </c>
      <c r="D1923" s="142" t="s">
        <v>2345</v>
      </c>
      <c r="E1923" s="142" t="s">
        <v>12</v>
      </c>
      <c r="F1923" s="69">
        <f t="shared" si="116"/>
        <v>1845</v>
      </c>
      <c r="G1923" s="69">
        <v>0</v>
      </c>
      <c r="H1923" s="69">
        <v>1640</v>
      </c>
      <c r="I1923" s="69">
        <v>205</v>
      </c>
      <c r="J1923" s="78">
        <v>0</v>
      </c>
      <c r="K1923" s="36">
        <v>44958</v>
      </c>
    </row>
    <row r="1924" spans="1:11" s="51" customFormat="1" ht="79.2" x14ac:dyDescent="0.25">
      <c r="A1924" s="129">
        <v>1607</v>
      </c>
      <c r="B1924" s="259"/>
      <c r="C1924" s="130" t="s">
        <v>2408</v>
      </c>
      <c r="D1924" s="142" t="s">
        <v>2348</v>
      </c>
      <c r="E1924" s="142" t="s">
        <v>271</v>
      </c>
      <c r="F1924" s="69">
        <f t="shared" si="116"/>
        <v>620.4106700000001</v>
      </c>
      <c r="G1924" s="69">
        <v>0</v>
      </c>
      <c r="H1924" s="69">
        <v>620.4106700000001</v>
      </c>
      <c r="I1924" s="69">
        <v>0</v>
      </c>
      <c r="J1924" s="78">
        <v>0</v>
      </c>
      <c r="K1924" s="36">
        <v>45047</v>
      </c>
    </row>
    <row r="1925" spans="1:11" s="51" customFormat="1" ht="79.2" x14ac:dyDescent="0.25">
      <c r="A1925" s="129">
        <v>1608</v>
      </c>
      <c r="B1925" s="259"/>
      <c r="C1925" s="130" t="s">
        <v>2409</v>
      </c>
      <c r="D1925" s="142" t="s">
        <v>2350</v>
      </c>
      <c r="E1925" s="142" t="s">
        <v>12</v>
      </c>
      <c r="F1925" s="69">
        <f t="shared" si="116"/>
        <v>299.7</v>
      </c>
      <c r="G1925" s="69">
        <v>0</v>
      </c>
      <c r="H1925" s="69">
        <v>299.7</v>
      </c>
      <c r="I1925" s="69">
        <v>0</v>
      </c>
      <c r="J1925" s="78">
        <v>0</v>
      </c>
      <c r="K1925" s="37">
        <v>45108</v>
      </c>
    </row>
    <row r="1926" spans="1:11" s="51" customFormat="1" ht="51" customHeight="1" x14ac:dyDescent="0.25">
      <c r="A1926" s="129">
        <v>1609</v>
      </c>
      <c r="B1926" s="259"/>
      <c r="C1926" s="130" t="s">
        <v>2410</v>
      </c>
      <c r="D1926" s="142" t="s">
        <v>2352</v>
      </c>
      <c r="E1926" s="142" t="s">
        <v>12</v>
      </c>
      <c r="F1926" s="69">
        <f t="shared" si="116"/>
        <v>2034.9999599999999</v>
      </c>
      <c r="G1926" s="69">
        <v>0</v>
      </c>
      <c r="H1926" s="69">
        <v>0</v>
      </c>
      <c r="I1926" s="69">
        <v>2034.9999599999999</v>
      </c>
      <c r="J1926" s="78">
        <v>0</v>
      </c>
      <c r="K1926" s="37">
        <v>45170</v>
      </c>
    </row>
    <row r="1927" spans="1:11" s="51" customFormat="1" ht="52.8" x14ac:dyDescent="0.25">
      <c r="A1927" s="129">
        <v>1610</v>
      </c>
      <c r="B1927" s="259"/>
      <c r="C1927" s="130" t="s">
        <v>2411</v>
      </c>
      <c r="D1927" s="142" t="s">
        <v>2354</v>
      </c>
      <c r="E1927" s="142" t="s">
        <v>12</v>
      </c>
      <c r="F1927" s="69">
        <f t="shared" si="116"/>
        <v>47.1</v>
      </c>
      <c r="G1927" s="69">
        <v>0</v>
      </c>
      <c r="H1927" s="69">
        <v>47.1</v>
      </c>
      <c r="I1927" s="69">
        <v>0</v>
      </c>
      <c r="J1927" s="78">
        <v>0</v>
      </c>
      <c r="K1927" s="37">
        <v>45200</v>
      </c>
    </row>
    <row r="1928" spans="1:11" s="51" customFormat="1" ht="52.8" x14ac:dyDescent="0.25">
      <c r="A1928" s="129">
        <v>1611</v>
      </c>
      <c r="B1928" s="259"/>
      <c r="C1928" s="130" t="s">
        <v>2412</v>
      </c>
      <c r="D1928" s="142" t="s">
        <v>2413</v>
      </c>
      <c r="E1928" s="142" t="s">
        <v>12</v>
      </c>
      <c r="F1928" s="69">
        <f t="shared" si="116"/>
        <v>8187.2129999999997</v>
      </c>
      <c r="G1928" s="69">
        <v>0</v>
      </c>
      <c r="H1928" s="69">
        <v>0</v>
      </c>
      <c r="I1928" s="69">
        <v>8187.2129999999997</v>
      </c>
      <c r="J1928" s="78">
        <v>0</v>
      </c>
      <c r="K1928" s="37">
        <v>45170</v>
      </c>
    </row>
    <row r="1929" spans="1:11" s="51" customFormat="1" ht="66" x14ac:dyDescent="0.25">
      <c r="A1929" s="129">
        <v>1612</v>
      </c>
      <c r="B1929" s="259"/>
      <c r="C1929" s="130" t="s">
        <v>2414</v>
      </c>
      <c r="D1929" s="142" t="s">
        <v>2356</v>
      </c>
      <c r="E1929" s="142" t="s">
        <v>2357</v>
      </c>
      <c r="F1929" s="69">
        <f t="shared" si="116"/>
        <v>12212.48144</v>
      </c>
      <c r="G1929" s="69">
        <v>0</v>
      </c>
      <c r="H1929" s="69">
        <v>0</v>
      </c>
      <c r="I1929" s="69">
        <v>12212.48144</v>
      </c>
      <c r="J1929" s="78">
        <v>0</v>
      </c>
      <c r="K1929" s="37">
        <v>45170</v>
      </c>
    </row>
    <row r="1930" spans="1:11" s="51" customFormat="1" ht="92.4" x14ac:dyDescent="0.25">
      <c r="A1930" s="129">
        <v>1613</v>
      </c>
      <c r="B1930" s="259"/>
      <c r="C1930" s="130" t="s">
        <v>2415</v>
      </c>
      <c r="D1930" s="142" t="s">
        <v>2325</v>
      </c>
      <c r="E1930" s="142" t="s">
        <v>12</v>
      </c>
      <c r="F1930" s="69">
        <f t="shared" si="116"/>
        <v>45.116999999999997</v>
      </c>
      <c r="G1930" s="69">
        <v>0</v>
      </c>
      <c r="H1930" s="69">
        <v>0</v>
      </c>
      <c r="I1930" s="69">
        <v>45.116999999999997</v>
      </c>
      <c r="J1930" s="78">
        <v>0</v>
      </c>
      <c r="K1930" s="37">
        <v>45170</v>
      </c>
    </row>
    <row r="1931" spans="1:11" s="51" customFormat="1" ht="92.4" x14ac:dyDescent="0.25">
      <c r="A1931" s="129">
        <v>1614</v>
      </c>
      <c r="B1931" s="259"/>
      <c r="C1931" s="130" t="s">
        <v>2416</v>
      </c>
      <c r="D1931" s="142" t="s">
        <v>2360</v>
      </c>
      <c r="E1931" s="142" t="s">
        <v>12</v>
      </c>
      <c r="F1931" s="69">
        <f t="shared" si="116"/>
        <v>101.925</v>
      </c>
      <c r="G1931" s="69">
        <v>0</v>
      </c>
      <c r="H1931" s="69">
        <v>0</v>
      </c>
      <c r="I1931" s="69">
        <v>101.925</v>
      </c>
      <c r="J1931" s="78">
        <v>0</v>
      </c>
      <c r="K1931" s="37">
        <v>45170</v>
      </c>
    </row>
    <row r="1932" spans="1:11" s="51" customFormat="1" ht="66" x14ac:dyDescent="0.25">
      <c r="A1932" s="129">
        <v>1615</v>
      </c>
      <c r="B1932" s="259"/>
      <c r="C1932" s="130" t="s">
        <v>2417</v>
      </c>
      <c r="D1932" s="142" t="s">
        <v>2362</v>
      </c>
      <c r="E1932" s="142" t="s">
        <v>12</v>
      </c>
      <c r="F1932" s="69">
        <f t="shared" si="116"/>
        <v>134.50713000000002</v>
      </c>
      <c r="G1932" s="69">
        <v>0</v>
      </c>
      <c r="H1932" s="69">
        <v>134.50713000000002</v>
      </c>
      <c r="I1932" s="69">
        <v>0</v>
      </c>
      <c r="J1932" s="78">
        <v>0</v>
      </c>
      <c r="K1932" s="37">
        <v>45108</v>
      </c>
    </row>
    <row r="1933" spans="1:11" s="51" customFormat="1" ht="52.8" x14ac:dyDescent="0.25">
      <c r="A1933" s="129">
        <v>1616</v>
      </c>
      <c r="B1933" s="259"/>
      <c r="C1933" s="130" t="s">
        <v>2418</v>
      </c>
      <c r="D1933" s="142" t="s">
        <v>2314</v>
      </c>
      <c r="E1933" s="142" t="s">
        <v>12</v>
      </c>
      <c r="F1933" s="69">
        <f t="shared" si="116"/>
        <v>1253.1632400000001</v>
      </c>
      <c r="G1933" s="69">
        <v>0</v>
      </c>
      <c r="H1933" s="69">
        <v>1253.1632400000001</v>
      </c>
      <c r="I1933" s="69">
        <v>0</v>
      </c>
      <c r="J1933" s="78">
        <v>0</v>
      </c>
      <c r="K1933" s="36">
        <v>44986</v>
      </c>
    </row>
    <row r="1934" spans="1:11" s="51" customFormat="1" ht="66" x14ac:dyDescent="0.25">
      <c r="A1934" s="129">
        <v>1617</v>
      </c>
      <c r="B1934" s="259"/>
      <c r="C1934" s="130" t="s">
        <v>2419</v>
      </c>
      <c r="D1934" s="142" t="s">
        <v>2420</v>
      </c>
      <c r="E1934" s="142" t="s">
        <v>12</v>
      </c>
      <c r="F1934" s="69">
        <f t="shared" si="116"/>
        <v>51.491999999999997</v>
      </c>
      <c r="G1934" s="69">
        <v>0</v>
      </c>
      <c r="H1934" s="69">
        <v>0</v>
      </c>
      <c r="I1934" s="69">
        <v>51.491999999999997</v>
      </c>
      <c r="J1934" s="78">
        <v>0</v>
      </c>
      <c r="K1934" s="37">
        <v>45170</v>
      </c>
    </row>
    <row r="1935" spans="1:11" s="51" customFormat="1" ht="66" x14ac:dyDescent="0.25">
      <c r="A1935" s="129">
        <v>1618</v>
      </c>
      <c r="B1935" s="259"/>
      <c r="C1935" s="130" t="s">
        <v>2421</v>
      </c>
      <c r="D1935" s="142" t="s">
        <v>96</v>
      </c>
      <c r="E1935" s="142" t="s">
        <v>12</v>
      </c>
      <c r="F1935" s="69">
        <f t="shared" si="116"/>
        <v>74.50533999999999</v>
      </c>
      <c r="G1935" s="69">
        <v>0</v>
      </c>
      <c r="H1935" s="69">
        <v>74.50533999999999</v>
      </c>
      <c r="I1935" s="69">
        <v>0</v>
      </c>
      <c r="J1935" s="78">
        <v>0</v>
      </c>
      <c r="K1935" s="36">
        <v>44986</v>
      </c>
    </row>
    <row r="1936" spans="1:11" s="51" customFormat="1" ht="52.8" x14ac:dyDescent="0.25">
      <c r="A1936" s="129">
        <v>1619</v>
      </c>
      <c r="B1936" s="259"/>
      <c r="C1936" s="130" t="s">
        <v>2422</v>
      </c>
      <c r="D1936" s="142" t="s">
        <v>2367</v>
      </c>
      <c r="E1936" s="142" t="s">
        <v>12</v>
      </c>
      <c r="F1936" s="69">
        <f t="shared" si="116"/>
        <v>81.29204</v>
      </c>
      <c r="G1936" s="69">
        <v>0</v>
      </c>
      <c r="H1936" s="69">
        <v>81.29204</v>
      </c>
      <c r="I1936" s="69">
        <v>0</v>
      </c>
      <c r="J1936" s="78">
        <v>0</v>
      </c>
      <c r="K1936" s="36">
        <v>45047</v>
      </c>
    </row>
    <row r="1937" spans="1:11" s="51" customFormat="1" ht="66" x14ac:dyDescent="0.25">
      <c r="A1937" s="129">
        <v>1620</v>
      </c>
      <c r="B1937" s="259"/>
      <c r="C1937" s="130" t="s">
        <v>2423</v>
      </c>
      <c r="D1937" s="142" t="s">
        <v>2420</v>
      </c>
      <c r="E1937" s="142" t="s">
        <v>12</v>
      </c>
      <c r="F1937" s="69">
        <f t="shared" si="116"/>
        <v>49.652999999999999</v>
      </c>
      <c r="G1937" s="69">
        <v>0</v>
      </c>
      <c r="H1937" s="69">
        <v>0</v>
      </c>
      <c r="I1937" s="69">
        <v>49.652999999999999</v>
      </c>
      <c r="J1937" s="78">
        <v>0</v>
      </c>
      <c r="K1937" s="37">
        <v>45170</v>
      </c>
    </row>
    <row r="1938" spans="1:11" s="51" customFormat="1" ht="92.4" x14ac:dyDescent="0.25">
      <c r="A1938" s="129">
        <v>1621</v>
      </c>
      <c r="B1938" s="259"/>
      <c r="C1938" s="130" t="s">
        <v>2424</v>
      </c>
      <c r="D1938" s="142" t="s">
        <v>2325</v>
      </c>
      <c r="E1938" s="142" t="s">
        <v>12</v>
      </c>
      <c r="F1938" s="69">
        <f t="shared" si="116"/>
        <v>112.7925</v>
      </c>
      <c r="G1938" s="69">
        <v>0</v>
      </c>
      <c r="H1938" s="69">
        <v>0</v>
      </c>
      <c r="I1938" s="69">
        <v>112.7925</v>
      </c>
      <c r="J1938" s="78">
        <v>0</v>
      </c>
      <c r="K1938" s="37">
        <v>45170</v>
      </c>
    </row>
    <row r="1939" spans="1:11" s="51" customFormat="1" ht="66" x14ac:dyDescent="0.25">
      <c r="A1939" s="129">
        <v>1622</v>
      </c>
      <c r="B1939" s="259"/>
      <c r="C1939" s="130" t="s">
        <v>2425</v>
      </c>
      <c r="D1939" s="142" t="s">
        <v>96</v>
      </c>
      <c r="E1939" s="142" t="s">
        <v>12</v>
      </c>
      <c r="F1939" s="69">
        <f t="shared" si="116"/>
        <v>1207.18262</v>
      </c>
      <c r="G1939" s="69">
        <v>0</v>
      </c>
      <c r="H1939" s="69">
        <v>1207.18262</v>
      </c>
      <c r="I1939" s="69">
        <v>0</v>
      </c>
      <c r="J1939" s="78">
        <v>0</v>
      </c>
      <c r="K1939" s="36">
        <v>44986</v>
      </c>
    </row>
    <row r="1940" spans="1:11" s="51" customFormat="1" ht="66" x14ac:dyDescent="0.25">
      <c r="A1940" s="129">
        <v>1623</v>
      </c>
      <c r="B1940" s="259"/>
      <c r="C1940" s="130" t="s">
        <v>2426</v>
      </c>
      <c r="D1940" s="142" t="s">
        <v>96</v>
      </c>
      <c r="E1940" s="142" t="s">
        <v>12</v>
      </c>
      <c r="F1940" s="69">
        <f t="shared" si="116"/>
        <v>1207.18262</v>
      </c>
      <c r="G1940" s="69">
        <v>0</v>
      </c>
      <c r="H1940" s="69">
        <v>0</v>
      </c>
      <c r="I1940" s="69">
        <v>1207.18262</v>
      </c>
      <c r="J1940" s="78">
        <v>0</v>
      </c>
      <c r="K1940" s="37">
        <v>45170</v>
      </c>
    </row>
    <row r="1941" spans="1:11" s="51" customFormat="1" ht="66" x14ac:dyDescent="0.25">
      <c r="A1941" s="129">
        <v>1624</v>
      </c>
      <c r="B1941" s="259"/>
      <c r="C1941" s="130" t="s">
        <v>2427</v>
      </c>
      <c r="D1941" s="142" t="s">
        <v>2420</v>
      </c>
      <c r="E1941" s="142" t="s">
        <v>12</v>
      </c>
      <c r="F1941" s="69">
        <f t="shared" si="116"/>
        <v>215.16300000000001</v>
      </c>
      <c r="G1941" s="69">
        <v>0</v>
      </c>
      <c r="H1941" s="69">
        <v>0</v>
      </c>
      <c r="I1941" s="69">
        <v>215.16300000000001</v>
      </c>
      <c r="J1941" s="78">
        <v>0</v>
      </c>
      <c r="K1941" s="37">
        <v>45170</v>
      </c>
    </row>
    <row r="1942" spans="1:11" s="51" customFormat="1" ht="92.4" x14ac:dyDescent="0.25">
      <c r="A1942" s="129">
        <v>1625</v>
      </c>
      <c r="B1942" s="259"/>
      <c r="C1942" s="130" t="s">
        <v>2428</v>
      </c>
      <c r="D1942" s="142" t="s">
        <v>2325</v>
      </c>
      <c r="E1942" s="142" t="s">
        <v>12</v>
      </c>
      <c r="F1942" s="69">
        <f t="shared" si="116"/>
        <v>30.077999999999999</v>
      </c>
      <c r="G1942" s="69">
        <v>0</v>
      </c>
      <c r="H1942" s="69">
        <v>0</v>
      </c>
      <c r="I1942" s="69">
        <v>30.077999999999999</v>
      </c>
      <c r="J1942" s="78">
        <v>0</v>
      </c>
      <c r="K1942" s="37">
        <v>45170</v>
      </c>
    </row>
    <row r="1943" spans="1:11" s="51" customFormat="1" ht="52.8" x14ac:dyDescent="0.25">
      <c r="A1943" s="129">
        <v>1626</v>
      </c>
      <c r="B1943" s="259"/>
      <c r="C1943" s="130" t="s">
        <v>2429</v>
      </c>
      <c r="D1943" s="142" t="s">
        <v>2314</v>
      </c>
      <c r="E1943" s="142" t="s">
        <v>12</v>
      </c>
      <c r="F1943" s="69">
        <f t="shared" si="116"/>
        <v>913.44330000000002</v>
      </c>
      <c r="G1943" s="69">
        <v>0</v>
      </c>
      <c r="H1943" s="69">
        <v>913.44330000000002</v>
      </c>
      <c r="I1943" s="69">
        <v>0</v>
      </c>
      <c r="J1943" s="78">
        <v>0</v>
      </c>
      <c r="K1943" s="36">
        <v>44986</v>
      </c>
    </row>
    <row r="1944" spans="1:11" s="51" customFormat="1" ht="51" customHeight="1" x14ac:dyDescent="0.25">
      <c r="A1944" s="129">
        <v>1627</v>
      </c>
      <c r="B1944" s="259"/>
      <c r="C1944" s="130" t="s">
        <v>2430</v>
      </c>
      <c r="D1944" s="142" t="s">
        <v>2365</v>
      </c>
      <c r="E1944" s="142" t="s">
        <v>12</v>
      </c>
      <c r="F1944" s="69">
        <f t="shared" si="116"/>
        <v>144.80000000000001</v>
      </c>
      <c r="G1944" s="69">
        <v>0</v>
      </c>
      <c r="H1944" s="69">
        <v>144.80000000000001</v>
      </c>
      <c r="I1944" s="69">
        <v>0</v>
      </c>
      <c r="J1944" s="78">
        <v>0</v>
      </c>
      <c r="K1944" s="36">
        <v>44986</v>
      </c>
    </row>
    <row r="1945" spans="1:11" s="51" customFormat="1" ht="66" x14ac:dyDescent="0.25">
      <c r="A1945" s="129">
        <v>1628</v>
      </c>
      <c r="B1945" s="259"/>
      <c r="C1945" s="130" t="s">
        <v>2431</v>
      </c>
      <c r="D1945" s="142" t="s">
        <v>2420</v>
      </c>
      <c r="E1945" s="142" t="s">
        <v>12</v>
      </c>
      <c r="F1945" s="69">
        <f t="shared" si="116"/>
        <v>23.907</v>
      </c>
      <c r="G1945" s="69">
        <v>0</v>
      </c>
      <c r="H1945" s="69">
        <v>0</v>
      </c>
      <c r="I1945" s="69">
        <v>23.907</v>
      </c>
      <c r="J1945" s="78">
        <v>0</v>
      </c>
      <c r="K1945" s="37">
        <v>45170</v>
      </c>
    </row>
    <row r="1946" spans="1:11" s="51" customFormat="1" ht="66" x14ac:dyDescent="0.25">
      <c r="A1946" s="129">
        <v>1629</v>
      </c>
      <c r="B1946" s="259"/>
      <c r="C1946" s="130" t="s">
        <v>2432</v>
      </c>
      <c r="D1946" s="142" t="s">
        <v>2433</v>
      </c>
      <c r="E1946" s="142" t="s">
        <v>12</v>
      </c>
      <c r="F1946" s="69">
        <f t="shared" si="116"/>
        <v>65.28</v>
      </c>
      <c r="G1946" s="69">
        <v>0</v>
      </c>
      <c r="H1946" s="69">
        <v>0</v>
      </c>
      <c r="I1946" s="69">
        <v>65.28</v>
      </c>
      <c r="J1946" s="78">
        <v>0</v>
      </c>
      <c r="K1946" s="37">
        <v>45170</v>
      </c>
    </row>
    <row r="1947" spans="1:11" s="51" customFormat="1" ht="92.4" x14ac:dyDescent="0.25">
      <c r="A1947" s="129">
        <v>1630</v>
      </c>
      <c r="B1947" s="259"/>
      <c r="C1947" s="130" t="s">
        <v>2434</v>
      </c>
      <c r="D1947" s="142" t="s">
        <v>2325</v>
      </c>
      <c r="E1947" s="142" t="s">
        <v>12</v>
      </c>
      <c r="F1947" s="69">
        <f t="shared" si="116"/>
        <v>22.558499999999999</v>
      </c>
      <c r="G1947" s="69">
        <v>0</v>
      </c>
      <c r="H1947" s="69">
        <v>0</v>
      </c>
      <c r="I1947" s="69">
        <v>22.558499999999999</v>
      </c>
      <c r="J1947" s="78">
        <v>0</v>
      </c>
      <c r="K1947" s="37">
        <v>45170</v>
      </c>
    </row>
    <row r="1948" spans="1:11" s="51" customFormat="1" ht="52.8" x14ac:dyDescent="0.25">
      <c r="A1948" s="129">
        <v>1631</v>
      </c>
      <c r="B1948" s="259"/>
      <c r="C1948" s="130" t="s">
        <v>2435</v>
      </c>
      <c r="D1948" s="142" t="s">
        <v>2436</v>
      </c>
      <c r="E1948" s="142" t="s">
        <v>12</v>
      </c>
      <c r="F1948" s="69">
        <f t="shared" si="116"/>
        <v>94.339449999999999</v>
      </c>
      <c r="G1948" s="69">
        <v>0</v>
      </c>
      <c r="H1948" s="69">
        <v>94.339449999999999</v>
      </c>
      <c r="I1948" s="69">
        <v>0</v>
      </c>
      <c r="J1948" s="78">
        <v>0</v>
      </c>
      <c r="K1948" s="36">
        <v>45047</v>
      </c>
    </row>
    <row r="1949" spans="1:11" s="51" customFormat="1" ht="66" x14ac:dyDescent="0.25">
      <c r="A1949" s="129">
        <v>1632</v>
      </c>
      <c r="B1949" s="259"/>
      <c r="C1949" s="130" t="s">
        <v>2437</v>
      </c>
      <c r="D1949" s="142" t="s">
        <v>2420</v>
      </c>
      <c r="E1949" s="142" t="s">
        <v>12</v>
      </c>
      <c r="F1949" s="69">
        <f t="shared" si="116"/>
        <v>40.457999999999998</v>
      </c>
      <c r="G1949" s="69">
        <v>0</v>
      </c>
      <c r="H1949" s="69">
        <v>0</v>
      </c>
      <c r="I1949" s="69">
        <v>40.457999999999998</v>
      </c>
      <c r="J1949" s="78">
        <v>0</v>
      </c>
      <c r="K1949" s="37">
        <v>45170</v>
      </c>
    </row>
    <row r="1950" spans="1:11" s="51" customFormat="1" ht="52.8" x14ac:dyDescent="0.25">
      <c r="A1950" s="129">
        <v>1633</v>
      </c>
      <c r="B1950" s="259"/>
      <c r="C1950" s="130" t="s">
        <v>2438</v>
      </c>
      <c r="D1950" s="142" t="s">
        <v>2439</v>
      </c>
      <c r="E1950" s="142" t="s">
        <v>12</v>
      </c>
      <c r="F1950" s="69">
        <f t="shared" si="116"/>
        <v>65.28</v>
      </c>
      <c r="G1950" s="69">
        <v>0</v>
      </c>
      <c r="H1950" s="69">
        <v>0</v>
      </c>
      <c r="I1950" s="69">
        <v>65.28</v>
      </c>
      <c r="J1950" s="78">
        <v>0</v>
      </c>
      <c r="K1950" s="37">
        <v>45170</v>
      </c>
    </row>
    <row r="1951" spans="1:11" s="51" customFormat="1" ht="79.2" x14ac:dyDescent="0.25">
      <c r="A1951" s="129">
        <v>1634</v>
      </c>
      <c r="B1951" s="259"/>
      <c r="C1951" s="130" t="s">
        <v>2440</v>
      </c>
      <c r="D1951" s="142" t="s">
        <v>2441</v>
      </c>
      <c r="E1951" s="142" t="s">
        <v>12</v>
      </c>
      <c r="F1951" s="69">
        <f t="shared" si="116"/>
        <v>476.91766999999999</v>
      </c>
      <c r="G1951" s="69">
        <v>0</v>
      </c>
      <c r="H1951" s="69">
        <v>476.91766999999999</v>
      </c>
      <c r="I1951" s="69">
        <v>0</v>
      </c>
      <c r="J1951" s="78">
        <v>0</v>
      </c>
      <c r="K1951" s="36">
        <v>44986</v>
      </c>
    </row>
    <row r="1952" spans="1:11" s="51" customFormat="1" ht="51" customHeight="1" x14ac:dyDescent="0.25">
      <c r="A1952" s="129">
        <v>1635</v>
      </c>
      <c r="B1952" s="259"/>
      <c r="C1952" s="130" t="s">
        <v>2442</v>
      </c>
      <c r="D1952" s="142" t="s">
        <v>2377</v>
      </c>
      <c r="E1952" s="142" t="s">
        <v>12</v>
      </c>
      <c r="F1952" s="69">
        <f t="shared" si="116"/>
        <v>1945.68</v>
      </c>
      <c r="G1952" s="69">
        <v>0</v>
      </c>
      <c r="H1952" s="69">
        <v>0</v>
      </c>
      <c r="I1952" s="69">
        <v>1945.68</v>
      </c>
      <c r="J1952" s="78">
        <v>0</v>
      </c>
      <c r="K1952" s="37">
        <v>45170</v>
      </c>
    </row>
    <row r="1953" spans="1:11" s="51" customFormat="1" ht="51" customHeight="1" x14ac:dyDescent="0.25">
      <c r="A1953" s="129">
        <v>1636</v>
      </c>
      <c r="B1953" s="259"/>
      <c r="C1953" s="130" t="s">
        <v>2443</v>
      </c>
      <c r="D1953" s="142" t="s">
        <v>2017</v>
      </c>
      <c r="E1953" s="142" t="s">
        <v>12</v>
      </c>
      <c r="F1953" s="69">
        <f t="shared" si="116"/>
        <v>155.70038</v>
      </c>
      <c r="G1953" s="69">
        <v>0</v>
      </c>
      <c r="H1953" s="69">
        <v>0</v>
      </c>
      <c r="I1953" s="69">
        <v>155.70038</v>
      </c>
      <c r="J1953" s="78">
        <v>0</v>
      </c>
      <c r="K1953" s="37">
        <v>45170</v>
      </c>
    </row>
    <row r="1954" spans="1:11" s="51" customFormat="1" ht="51" customHeight="1" x14ac:dyDescent="0.25">
      <c r="A1954" s="129">
        <v>1637</v>
      </c>
      <c r="B1954" s="259"/>
      <c r="C1954" s="130" t="s">
        <v>2444</v>
      </c>
      <c r="D1954" s="142" t="s">
        <v>2445</v>
      </c>
      <c r="E1954" s="142" t="s">
        <v>12</v>
      </c>
      <c r="F1954" s="69">
        <f t="shared" si="116"/>
        <v>1904.08502</v>
      </c>
      <c r="G1954" s="69">
        <v>0</v>
      </c>
      <c r="H1954" s="69">
        <v>0</v>
      </c>
      <c r="I1954" s="69">
        <v>1904.08502</v>
      </c>
      <c r="J1954" s="78">
        <v>0</v>
      </c>
      <c r="K1954" s="37">
        <v>45170</v>
      </c>
    </row>
    <row r="1955" spans="1:11" s="51" customFormat="1" ht="51" customHeight="1" x14ac:dyDescent="0.25">
      <c r="A1955" s="129">
        <v>1638</v>
      </c>
      <c r="B1955" s="259"/>
      <c r="C1955" s="130" t="s">
        <v>2446</v>
      </c>
      <c r="D1955" s="142" t="s">
        <v>2365</v>
      </c>
      <c r="E1955" s="142" t="s">
        <v>12</v>
      </c>
      <c r="F1955" s="69">
        <f t="shared" si="116"/>
        <v>999.9</v>
      </c>
      <c r="G1955" s="69">
        <v>0</v>
      </c>
      <c r="H1955" s="69">
        <v>999.9</v>
      </c>
      <c r="I1955" s="69">
        <v>0</v>
      </c>
      <c r="J1955" s="78">
        <v>0</v>
      </c>
      <c r="K1955" s="36">
        <v>44986</v>
      </c>
    </row>
    <row r="1956" spans="1:11" s="51" customFormat="1" ht="118.8" x14ac:dyDescent="0.25">
      <c r="A1956" s="129">
        <v>1639</v>
      </c>
      <c r="B1956" s="259"/>
      <c r="C1956" s="130" t="s">
        <v>2447</v>
      </c>
      <c r="D1956" s="142" t="s">
        <v>2383</v>
      </c>
      <c r="E1956" s="142" t="s">
        <v>12</v>
      </c>
      <c r="F1956" s="69">
        <f t="shared" si="116"/>
        <v>1102.56</v>
      </c>
      <c r="G1956" s="69">
        <v>0</v>
      </c>
      <c r="H1956" s="69">
        <v>1102.56</v>
      </c>
      <c r="I1956" s="69">
        <v>0</v>
      </c>
      <c r="J1956" s="78">
        <v>0</v>
      </c>
      <c r="K1956" s="37">
        <v>45139</v>
      </c>
    </row>
    <row r="1957" spans="1:11" s="51" customFormat="1" ht="118.8" x14ac:dyDescent="0.25">
      <c r="A1957" s="129">
        <v>1640</v>
      </c>
      <c r="B1957" s="259"/>
      <c r="C1957" s="130" t="s">
        <v>2448</v>
      </c>
      <c r="D1957" s="142" t="s">
        <v>2383</v>
      </c>
      <c r="E1957" s="142" t="s">
        <v>12</v>
      </c>
      <c r="F1957" s="69">
        <f t="shared" si="116"/>
        <v>1102.56</v>
      </c>
      <c r="G1957" s="69">
        <v>0</v>
      </c>
      <c r="H1957" s="69">
        <v>0</v>
      </c>
      <c r="I1957" s="69">
        <v>1102.56</v>
      </c>
      <c r="J1957" s="78">
        <v>0</v>
      </c>
      <c r="K1957" s="37">
        <v>45139</v>
      </c>
    </row>
    <row r="1958" spans="1:11" s="51" customFormat="1" ht="92.4" x14ac:dyDescent="0.25">
      <c r="A1958" s="129">
        <v>1641</v>
      </c>
      <c r="B1958" s="259"/>
      <c r="C1958" s="130" t="s">
        <v>2449</v>
      </c>
      <c r="D1958" s="142" t="s">
        <v>2385</v>
      </c>
      <c r="E1958" s="142" t="s">
        <v>12</v>
      </c>
      <c r="F1958" s="69">
        <f t="shared" si="116"/>
        <v>385</v>
      </c>
      <c r="G1958" s="69">
        <v>0</v>
      </c>
      <c r="H1958" s="69">
        <v>385</v>
      </c>
      <c r="I1958" s="69">
        <v>0</v>
      </c>
      <c r="J1958" s="78">
        <v>0</v>
      </c>
      <c r="K1958" s="37">
        <v>45139</v>
      </c>
    </row>
    <row r="1959" spans="1:11" s="51" customFormat="1" ht="92.4" x14ac:dyDescent="0.25">
      <c r="A1959" s="129">
        <v>1642</v>
      </c>
      <c r="B1959" s="259"/>
      <c r="C1959" s="130" t="s">
        <v>2450</v>
      </c>
      <c r="D1959" s="142" t="s">
        <v>2385</v>
      </c>
      <c r="E1959" s="142" t="s">
        <v>12</v>
      </c>
      <c r="F1959" s="69">
        <f t="shared" si="116"/>
        <v>385</v>
      </c>
      <c r="G1959" s="69">
        <v>0</v>
      </c>
      <c r="H1959" s="69">
        <v>0</v>
      </c>
      <c r="I1959" s="69">
        <v>385</v>
      </c>
      <c r="J1959" s="78">
        <v>0</v>
      </c>
      <c r="K1959" s="37">
        <v>45139</v>
      </c>
    </row>
    <row r="1960" spans="1:11" s="51" customFormat="1" ht="79.2" x14ac:dyDescent="0.25">
      <c r="A1960" s="129">
        <v>1643</v>
      </c>
      <c r="B1960" s="259"/>
      <c r="C1960" s="130" t="s">
        <v>2451</v>
      </c>
      <c r="D1960" s="142" t="s">
        <v>2387</v>
      </c>
      <c r="E1960" s="142" t="s">
        <v>12</v>
      </c>
      <c r="F1960" s="69">
        <f t="shared" si="116"/>
        <v>308.74167</v>
      </c>
      <c r="G1960" s="69">
        <v>0</v>
      </c>
      <c r="H1960" s="69">
        <v>308.74167</v>
      </c>
      <c r="I1960" s="69">
        <v>0</v>
      </c>
      <c r="J1960" s="78">
        <v>0</v>
      </c>
      <c r="K1960" s="37">
        <v>44835</v>
      </c>
    </row>
    <row r="1961" spans="1:11" s="51" customFormat="1" ht="79.2" x14ac:dyDescent="0.25">
      <c r="A1961" s="129">
        <v>1644</v>
      </c>
      <c r="B1961" s="260"/>
      <c r="C1961" s="130" t="s">
        <v>2452</v>
      </c>
      <c r="D1961" s="142" t="s">
        <v>2387</v>
      </c>
      <c r="E1961" s="142" t="s">
        <v>12</v>
      </c>
      <c r="F1961" s="69">
        <f t="shared" si="116"/>
        <v>308.74167</v>
      </c>
      <c r="G1961" s="69">
        <v>0</v>
      </c>
      <c r="H1961" s="69">
        <v>0</v>
      </c>
      <c r="I1961" s="69">
        <v>308.74167</v>
      </c>
      <c r="J1961" s="78">
        <v>0</v>
      </c>
      <c r="K1961" s="37">
        <v>44835</v>
      </c>
    </row>
    <row r="1962" spans="1:11" s="51" customFormat="1" ht="13.2" x14ac:dyDescent="0.25">
      <c r="A1962" s="256" t="s">
        <v>2453</v>
      </c>
      <c r="B1962" s="256"/>
      <c r="C1962" s="256"/>
      <c r="D1962" s="256"/>
      <c r="E1962" s="256"/>
      <c r="F1962" s="79">
        <f>SUM(F1907:F1961)</f>
        <v>85204.02052999998</v>
      </c>
      <c r="G1962" s="79">
        <f t="shared" ref="G1962:J1962" si="117">SUM(G1907:G1961)</f>
        <v>0</v>
      </c>
      <c r="H1962" s="79">
        <f t="shared" si="117"/>
        <v>24410.135440000002</v>
      </c>
      <c r="I1962" s="79">
        <f t="shared" si="117"/>
        <v>60793.885090000003</v>
      </c>
      <c r="J1962" s="79">
        <f t="shared" si="117"/>
        <v>0</v>
      </c>
      <c r="K1962" s="80"/>
    </row>
    <row r="1963" spans="1:11" s="51" customFormat="1" ht="52.8" x14ac:dyDescent="0.25">
      <c r="A1963" s="129">
        <v>1645</v>
      </c>
      <c r="B1963" s="258" t="s">
        <v>3181</v>
      </c>
      <c r="C1963" s="42" t="s">
        <v>2454</v>
      </c>
      <c r="D1963" s="142" t="s">
        <v>2314</v>
      </c>
      <c r="E1963" s="142" t="s">
        <v>12</v>
      </c>
      <c r="F1963" s="69">
        <f>G1963+H1963+I1963</f>
        <v>3754.9186299999997</v>
      </c>
      <c r="G1963" s="69">
        <v>0</v>
      </c>
      <c r="H1963" s="69">
        <v>0</v>
      </c>
      <c r="I1963" s="69">
        <v>3754.9186299999997</v>
      </c>
      <c r="J1963" s="78">
        <v>0</v>
      </c>
      <c r="K1963" s="36">
        <v>45413</v>
      </c>
    </row>
    <row r="1964" spans="1:11" s="51" customFormat="1" ht="51" customHeight="1" x14ac:dyDescent="0.25">
      <c r="A1964" s="129">
        <v>1646</v>
      </c>
      <c r="B1964" s="259"/>
      <c r="C1964" s="42" t="s">
        <v>2455</v>
      </c>
      <c r="D1964" s="142" t="s">
        <v>2321</v>
      </c>
      <c r="E1964" s="142" t="s">
        <v>12</v>
      </c>
      <c r="F1964" s="69">
        <f t="shared" ref="F1964:F1989" si="118">G1964+H1964+I1964</f>
        <v>649.2629300000001</v>
      </c>
      <c r="G1964" s="69">
        <v>0</v>
      </c>
      <c r="H1964" s="69">
        <v>0</v>
      </c>
      <c r="I1964" s="69">
        <v>649.2629300000001</v>
      </c>
      <c r="J1964" s="78">
        <v>0</v>
      </c>
      <c r="K1964" s="36">
        <v>45444</v>
      </c>
    </row>
    <row r="1965" spans="1:11" s="51" customFormat="1" ht="52.8" x14ac:dyDescent="0.25">
      <c r="A1965" s="129">
        <v>1647</v>
      </c>
      <c r="B1965" s="259"/>
      <c r="C1965" s="42" t="s">
        <v>2456</v>
      </c>
      <c r="D1965" s="142" t="s">
        <v>2323</v>
      </c>
      <c r="E1965" s="142" t="s">
        <v>12</v>
      </c>
      <c r="F1965" s="69">
        <f t="shared" si="118"/>
        <v>189.32499999999999</v>
      </c>
      <c r="G1965" s="69">
        <v>0</v>
      </c>
      <c r="H1965" s="69">
        <v>0</v>
      </c>
      <c r="I1965" s="69">
        <v>189.32499999999999</v>
      </c>
      <c r="J1965" s="78">
        <v>0</v>
      </c>
      <c r="K1965" s="36">
        <v>45444</v>
      </c>
    </row>
    <row r="1966" spans="1:11" s="51" customFormat="1" ht="66" x14ac:dyDescent="0.25">
      <c r="A1966" s="129">
        <v>1648</v>
      </c>
      <c r="B1966" s="259"/>
      <c r="C1966" s="42" t="s">
        <v>2457</v>
      </c>
      <c r="D1966" s="142" t="s">
        <v>2327</v>
      </c>
      <c r="E1966" s="142" t="s">
        <v>12</v>
      </c>
      <c r="F1966" s="69">
        <f t="shared" si="118"/>
        <v>3092.66959</v>
      </c>
      <c r="G1966" s="69">
        <v>0</v>
      </c>
      <c r="H1966" s="69">
        <v>0</v>
      </c>
      <c r="I1966" s="69">
        <v>3092.66959</v>
      </c>
      <c r="J1966" s="78">
        <v>0</v>
      </c>
      <c r="K1966" s="37">
        <v>45505</v>
      </c>
    </row>
    <row r="1967" spans="1:11" s="51" customFormat="1" ht="52.8" x14ac:dyDescent="0.25">
      <c r="A1967" s="129">
        <v>1649</v>
      </c>
      <c r="B1967" s="259"/>
      <c r="C1967" s="42" t="s">
        <v>2458</v>
      </c>
      <c r="D1967" s="142" t="s">
        <v>2329</v>
      </c>
      <c r="E1967" s="142" t="s">
        <v>12</v>
      </c>
      <c r="F1967" s="69">
        <f t="shared" si="118"/>
        <v>1173.3333300000002</v>
      </c>
      <c r="G1967" s="69">
        <v>0</v>
      </c>
      <c r="H1967" s="69">
        <v>0</v>
      </c>
      <c r="I1967" s="69">
        <v>1173.3333300000002</v>
      </c>
      <c r="J1967" s="78">
        <v>0</v>
      </c>
      <c r="K1967" s="36">
        <v>45383</v>
      </c>
    </row>
    <row r="1968" spans="1:11" s="51" customFormat="1" ht="66" x14ac:dyDescent="0.25">
      <c r="A1968" s="129">
        <v>1650</v>
      </c>
      <c r="B1968" s="259"/>
      <c r="C1968" s="42" t="s">
        <v>2459</v>
      </c>
      <c r="D1968" s="142" t="s">
        <v>2331</v>
      </c>
      <c r="E1968" s="142" t="s">
        <v>12</v>
      </c>
      <c r="F1968" s="69">
        <f t="shared" si="118"/>
        <v>135.726</v>
      </c>
      <c r="G1968" s="69">
        <v>0</v>
      </c>
      <c r="H1968" s="69">
        <v>0</v>
      </c>
      <c r="I1968" s="69">
        <v>135.726</v>
      </c>
      <c r="J1968" s="78">
        <v>0</v>
      </c>
      <c r="K1968" s="36">
        <v>45413</v>
      </c>
    </row>
    <row r="1969" spans="1:11" s="51" customFormat="1" ht="66" x14ac:dyDescent="0.25">
      <c r="A1969" s="129">
        <v>1651</v>
      </c>
      <c r="B1969" s="259"/>
      <c r="C1969" s="42" t="s">
        <v>2460</v>
      </c>
      <c r="D1969" s="142" t="s">
        <v>2333</v>
      </c>
      <c r="E1969" s="142" t="s">
        <v>12</v>
      </c>
      <c r="F1969" s="69">
        <f t="shared" si="118"/>
        <v>261.49167</v>
      </c>
      <c r="G1969" s="69">
        <v>0</v>
      </c>
      <c r="H1969" s="69">
        <v>0</v>
      </c>
      <c r="I1969" s="69">
        <v>261.49167</v>
      </c>
      <c r="J1969" s="78">
        <v>0</v>
      </c>
      <c r="K1969" s="37">
        <v>45474</v>
      </c>
    </row>
    <row r="1970" spans="1:11" s="51" customFormat="1" ht="52.8" x14ac:dyDescent="0.25">
      <c r="A1970" s="129">
        <v>1652</v>
      </c>
      <c r="B1970" s="259"/>
      <c r="C1970" s="42" t="s">
        <v>2461</v>
      </c>
      <c r="D1970" s="142" t="s">
        <v>2335</v>
      </c>
      <c r="E1970" s="142" t="s">
        <v>12</v>
      </c>
      <c r="F1970" s="69">
        <f t="shared" si="118"/>
        <v>148.59467000000001</v>
      </c>
      <c r="G1970" s="69">
        <v>0</v>
      </c>
      <c r="H1970" s="69">
        <v>0</v>
      </c>
      <c r="I1970" s="69">
        <v>148.59467000000001</v>
      </c>
      <c r="J1970" s="78">
        <v>0</v>
      </c>
      <c r="K1970" s="37">
        <v>45474</v>
      </c>
    </row>
    <row r="1971" spans="1:11" s="51" customFormat="1" ht="52.8" x14ac:dyDescent="0.25">
      <c r="A1971" s="129">
        <v>1653</v>
      </c>
      <c r="B1971" s="259"/>
      <c r="C1971" s="42" t="s">
        <v>2462</v>
      </c>
      <c r="D1971" s="142" t="s">
        <v>2337</v>
      </c>
      <c r="E1971" s="142" t="s">
        <v>12</v>
      </c>
      <c r="F1971" s="69">
        <f t="shared" si="118"/>
        <v>315.78533000000004</v>
      </c>
      <c r="G1971" s="69">
        <v>0</v>
      </c>
      <c r="H1971" s="69">
        <v>0</v>
      </c>
      <c r="I1971" s="69">
        <v>315.78533000000004</v>
      </c>
      <c r="J1971" s="78">
        <v>0</v>
      </c>
      <c r="K1971" s="37">
        <v>45505</v>
      </c>
    </row>
    <row r="1972" spans="1:11" s="51" customFormat="1" ht="52.8" x14ac:dyDescent="0.25">
      <c r="A1972" s="129">
        <v>1654</v>
      </c>
      <c r="B1972" s="259"/>
      <c r="C1972" s="42" t="s">
        <v>2463</v>
      </c>
      <c r="D1972" s="142" t="s">
        <v>2339</v>
      </c>
      <c r="E1972" s="142" t="s">
        <v>12</v>
      </c>
      <c r="F1972" s="69">
        <f t="shared" si="118"/>
        <v>376.30379999999997</v>
      </c>
      <c r="G1972" s="69">
        <v>0</v>
      </c>
      <c r="H1972" s="69">
        <v>0</v>
      </c>
      <c r="I1972" s="69">
        <v>376.30379999999997</v>
      </c>
      <c r="J1972" s="78">
        <v>0</v>
      </c>
      <c r="K1972" s="37">
        <v>45505</v>
      </c>
    </row>
    <row r="1973" spans="1:11" s="51" customFormat="1" ht="118.8" x14ac:dyDescent="0.25">
      <c r="A1973" s="129">
        <v>1655</v>
      </c>
      <c r="B1973" s="259"/>
      <c r="C1973" s="42" t="s">
        <v>2464</v>
      </c>
      <c r="D1973" s="142" t="s">
        <v>2341</v>
      </c>
      <c r="E1973" s="142" t="s">
        <v>12</v>
      </c>
      <c r="F1973" s="69">
        <f t="shared" si="118"/>
        <v>282.18233000000004</v>
      </c>
      <c r="G1973" s="69">
        <v>0</v>
      </c>
      <c r="H1973" s="69">
        <v>0</v>
      </c>
      <c r="I1973" s="69">
        <v>282.18233000000004</v>
      </c>
      <c r="J1973" s="78">
        <v>0</v>
      </c>
      <c r="K1973" s="36">
        <v>45413</v>
      </c>
    </row>
    <row r="1974" spans="1:11" s="51" customFormat="1" ht="51" customHeight="1" x14ac:dyDescent="0.25">
      <c r="A1974" s="129">
        <v>1656</v>
      </c>
      <c r="B1974" s="259"/>
      <c r="C1974" s="42" t="s">
        <v>2465</v>
      </c>
      <c r="D1974" s="142" t="s">
        <v>75</v>
      </c>
      <c r="E1974" s="142" t="s">
        <v>12</v>
      </c>
      <c r="F1974" s="69">
        <f t="shared" si="118"/>
        <v>3999.5</v>
      </c>
      <c r="G1974" s="69">
        <v>0</v>
      </c>
      <c r="H1974" s="69">
        <v>0</v>
      </c>
      <c r="I1974" s="69">
        <v>3999.5</v>
      </c>
      <c r="J1974" s="78">
        <v>0</v>
      </c>
      <c r="K1974" s="37">
        <v>45536</v>
      </c>
    </row>
    <row r="1975" spans="1:11" s="51" customFormat="1" ht="105.6" x14ac:dyDescent="0.25">
      <c r="A1975" s="129">
        <v>1657</v>
      </c>
      <c r="B1975" s="259"/>
      <c r="C1975" s="42" t="s">
        <v>2466</v>
      </c>
      <c r="D1975" s="142" t="s">
        <v>2345</v>
      </c>
      <c r="E1975" s="142" t="s">
        <v>12</v>
      </c>
      <c r="F1975" s="69">
        <f t="shared" si="118"/>
        <v>1640</v>
      </c>
      <c r="G1975" s="69">
        <v>0</v>
      </c>
      <c r="H1975" s="69">
        <v>0</v>
      </c>
      <c r="I1975" s="69">
        <v>1640</v>
      </c>
      <c r="J1975" s="78">
        <v>0</v>
      </c>
      <c r="K1975" s="36">
        <v>45323</v>
      </c>
    </row>
    <row r="1976" spans="1:11" s="51" customFormat="1" ht="79.2" x14ac:dyDescent="0.25">
      <c r="A1976" s="129">
        <v>1658</v>
      </c>
      <c r="B1976" s="259"/>
      <c r="C1976" s="42" t="s">
        <v>2467</v>
      </c>
      <c r="D1976" s="142" t="s">
        <v>2348</v>
      </c>
      <c r="E1976" s="142" t="s">
        <v>271</v>
      </c>
      <c r="F1976" s="69">
        <f t="shared" si="118"/>
        <v>620.4106700000001</v>
      </c>
      <c r="G1976" s="69">
        <v>0</v>
      </c>
      <c r="H1976" s="69">
        <v>0</v>
      </c>
      <c r="I1976" s="69">
        <v>620.4106700000001</v>
      </c>
      <c r="J1976" s="78">
        <v>0</v>
      </c>
      <c r="K1976" s="36">
        <v>45413</v>
      </c>
    </row>
    <row r="1977" spans="1:11" s="51" customFormat="1" ht="79.2" x14ac:dyDescent="0.25">
      <c r="A1977" s="129">
        <v>1659</v>
      </c>
      <c r="B1977" s="259"/>
      <c r="C1977" s="42" t="s">
        <v>2468</v>
      </c>
      <c r="D1977" s="142" t="s">
        <v>2350</v>
      </c>
      <c r="E1977" s="142" t="s">
        <v>12</v>
      </c>
      <c r="F1977" s="69">
        <f t="shared" si="118"/>
        <v>299.7</v>
      </c>
      <c r="G1977" s="69">
        <v>0</v>
      </c>
      <c r="H1977" s="69">
        <v>0</v>
      </c>
      <c r="I1977" s="69">
        <v>299.7</v>
      </c>
      <c r="J1977" s="78">
        <v>0</v>
      </c>
      <c r="K1977" s="37">
        <v>45474</v>
      </c>
    </row>
    <row r="1978" spans="1:11" s="51" customFormat="1" ht="52.8" x14ac:dyDescent="0.25">
      <c r="A1978" s="129">
        <v>1660</v>
      </c>
      <c r="B1978" s="259"/>
      <c r="C1978" s="42" t="s">
        <v>2469</v>
      </c>
      <c r="D1978" s="142" t="s">
        <v>2354</v>
      </c>
      <c r="E1978" s="142" t="s">
        <v>12</v>
      </c>
      <c r="F1978" s="69">
        <f t="shared" si="118"/>
        <v>47.1</v>
      </c>
      <c r="G1978" s="69">
        <v>0</v>
      </c>
      <c r="H1978" s="69">
        <v>0</v>
      </c>
      <c r="I1978" s="69">
        <v>47.1</v>
      </c>
      <c r="J1978" s="78">
        <v>0</v>
      </c>
      <c r="K1978" s="37">
        <v>45566</v>
      </c>
    </row>
    <row r="1979" spans="1:11" s="51" customFormat="1" ht="51" customHeight="1" x14ac:dyDescent="0.25">
      <c r="A1979" s="129">
        <v>1661</v>
      </c>
      <c r="B1979" s="259"/>
      <c r="C1979" s="42" t="s">
        <v>2470</v>
      </c>
      <c r="D1979" s="142" t="s">
        <v>2471</v>
      </c>
      <c r="E1979" s="142" t="s">
        <v>12</v>
      </c>
      <c r="F1979" s="69">
        <f t="shared" si="118"/>
        <v>78.224999999999994</v>
      </c>
      <c r="G1979" s="69">
        <v>0</v>
      </c>
      <c r="H1979" s="69">
        <v>0</v>
      </c>
      <c r="I1979" s="69">
        <v>78.224999999999994</v>
      </c>
      <c r="J1979" s="78">
        <v>0</v>
      </c>
      <c r="K1979" s="37">
        <v>45566</v>
      </c>
    </row>
    <row r="1980" spans="1:11" s="51" customFormat="1" ht="66" x14ac:dyDescent="0.25">
      <c r="A1980" s="129">
        <v>1662</v>
      </c>
      <c r="B1980" s="259"/>
      <c r="C1980" s="42" t="s">
        <v>2472</v>
      </c>
      <c r="D1980" s="142" t="s">
        <v>2362</v>
      </c>
      <c r="E1980" s="142" t="s">
        <v>12</v>
      </c>
      <c r="F1980" s="69">
        <f t="shared" si="118"/>
        <v>134.50713000000002</v>
      </c>
      <c r="G1980" s="69">
        <v>0</v>
      </c>
      <c r="H1980" s="69">
        <v>0</v>
      </c>
      <c r="I1980" s="69">
        <v>134.50713000000002</v>
      </c>
      <c r="J1980" s="78">
        <v>0</v>
      </c>
      <c r="K1980" s="37">
        <v>45474</v>
      </c>
    </row>
    <row r="1981" spans="1:11" s="51" customFormat="1" ht="52.8" x14ac:dyDescent="0.25">
      <c r="A1981" s="129">
        <v>1663</v>
      </c>
      <c r="B1981" s="259"/>
      <c r="C1981" s="42" t="s">
        <v>2473</v>
      </c>
      <c r="D1981" s="142" t="s">
        <v>2314</v>
      </c>
      <c r="E1981" s="142" t="s">
        <v>12</v>
      </c>
      <c r="F1981" s="69">
        <f t="shared" si="118"/>
        <v>1253.1632400000001</v>
      </c>
      <c r="G1981" s="69">
        <v>0</v>
      </c>
      <c r="H1981" s="69">
        <v>0</v>
      </c>
      <c r="I1981" s="69">
        <v>1253.1632400000001</v>
      </c>
      <c r="J1981" s="78">
        <v>0</v>
      </c>
      <c r="K1981" s="36">
        <v>45352</v>
      </c>
    </row>
    <row r="1982" spans="1:11" s="51" customFormat="1" ht="66" x14ac:dyDescent="0.25">
      <c r="A1982" s="129">
        <v>1664</v>
      </c>
      <c r="B1982" s="259"/>
      <c r="C1982" s="42" t="s">
        <v>2474</v>
      </c>
      <c r="D1982" s="142" t="s">
        <v>2475</v>
      </c>
      <c r="E1982" s="142" t="s">
        <v>12</v>
      </c>
      <c r="F1982" s="69">
        <f t="shared" si="118"/>
        <v>74.50533999999999</v>
      </c>
      <c r="G1982" s="69">
        <v>0</v>
      </c>
      <c r="H1982" s="69">
        <v>0</v>
      </c>
      <c r="I1982" s="69">
        <v>74.50533999999999</v>
      </c>
      <c r="J1982" s="78">
        <v>0</v>
      </c>
      <c r="K1982" s="36">
        <v>45352</v>
      </c>
    </row>
    <row r="1983" spans="1:11" s="51" customFormat="1" ht="52.8" x14ac:dyDescent="0.25">
      <c r="A1983" s="129">
        <v>1665</v>
      </c>
      <c r="B1983" s="259"/>
      <c r="C1983" s="42" t="s">
        <v>2476</v>
      </c>
      <c r="D1983" s="142" t="s">
        <v>2367</v>
      </c>
      <c r="E1983" s="142" t="s">
        <v>12</v>
      </c>
      <c r="F1983" s="69">
        <f t="shared" si="118"/>
        <v>81.29204</v>
      </c>
      <c r="G1983" s="69">
        <v>0</v>
      </c>
      <c r="H1983" s="69">
        <v>0</v>
      </c>
      <c r="I1983" s="69">
        <v>81.29204</v>
      </c>
      <c r="J1983" s="78">
        <v>0</v>
      </c>
      <c r="K1983" s="36">
        <v>45352</v>
      </c>
    </row>
    <row r="1984" spans="1:11" s="51" customFormat="1" ht="52.8" x14ac:dyDescent="0.25">
      <c r="A1984" s="129">
        <v>1666</v>
      </c>
      <c r="B1984" s="259"/>
      <c r="C1984" s="42" t="s">
        <v>2477</v>
      </c>
      <c r="D1984" s="142" t="s">
        <v>2314</v>
      </c>
      <c r="E1984" s="142" t="s">
        <v>12</v>
      </c>
      <c r="F1984" s="69">
        <f t="shared" si="118"/>
        <v>913.44330000000002</v>
      </c>
      <c r="G1984" s="69">
        <v>0</v>
      </c>
      <c r="H1984" s="69">
        <v>0</v>
      </c>
      <c r="I1984" s="69">
        <v>913.44330000000002</v>
      </c>
      <c r="J1984" s="78">
        <v>0</v>
      </c>
      <c r="K1984" s="36">
        <v>45352</v>
      </c>
    </row>
    <row r="1985" spans="1:11" s="51" customFormat="1" ht="51" customHeight="1" x14ac:dyDescent="0.25">
      <c r="A1985" s="129">
        <v>1667</v>
      </c>
      <c r="B1985" s="259"/>
      <c r="C1985" s="42" t="s">
        <v>2478</v>
      </c>
      <c r="D1985" s="142" t="s">
        <v>2365</v>
      </c>
      <c r="E1985" s="142" t="s">
        <v>12</v>
      </c>
      <c r="F1985" s="69">
        <f t="shared" si="118"/>
        <v>144.80000000000001</v>
      </c>
      <c r="G1985" s="69">
        <v>0</v>
      </c>
      <c r="H1985" s="69">
        <v>0</v>
      </c>
      <c r="I1985" s="69">
        <v>144.80000000000001</v>
      </c>
      <c r="J1985" s="78">
        <v>0</v>
      </c>
      <c r="K1985" s="36">
        <v>45413</v>
      </c>
    </row>
    <row r="1986" spans="1:11" s="51" customFormat="1" ht="52.8" x14ac:dyDescent="0.25">
      <c r="A1986" s="129">
        <v>1668</v>
      </c>
      <c r="B1986" s="259"/>
      <c r="C1986" s="42" t="s">
        <v>2479</v>
      </c>
      <c r="D1986" s="142" t="s">
        <v>2436</v>
      </c>
      <c r="E1986" s="142" t="s">
        <v>12</v>
      </c>
      <c r="F1986" s="69">
        <f t="shared" si="118"/>
        <v>97</v>
      </c>
      <c r="G1986" s="69">
        <v>0</v>
      </c>
      <c r="H1986" s="69">
        <v>0</v>
      </c>
      <c r="I1986" s="69">
        <v>97</v>
      </c>
      <c r="J1986" s="78">
        <v>0</v>
      </c>
      <c r="K1986" s="36">
        <v>45413</v>
      </c>
    </row>
    <row r="1987" spans="1:11" s="51" customFormat="1" ht="52.8" x14ac:dyDescent="0.25">
      <c r="A1987" s="129">
        <v>1669</v>
      </c>
      <c r="B1987" s="259"/>
      <c r="C1987" s="42" t="s">
        <v>2480</v>
      </c>
      <c r="D1987" s="142" t="s">
        <v>2314</v>
      </c>
      <c r="E1987" s="142" t="s">
        <v>12</v>
      </c>
      <c r="F1987" s="69">
        <f t="shared" si="118"/>
        <v>3.1374599999999999</v>
      </c>
      <c r="G1987" s="69">
        <v>0</v>
      </c>
      <c r="H1987" s="69">
        <v>0</v>
      </c>
      <c r="I1987" s="69">
        <v>3.1374599999999999</v>
      </c>
      <c r="J1987" s="78">
        <v>0</v>
      </c>
      <c r="K1987" s="36">
        <v>45352</v>
      </c>
    </row>
    <row r="1988" spans="1:11" s="51" customFormat="1" ht="79.2" x14ac:dyDescent="0.25">
      <c r="A1988" s="129">
        <v>1670</v>
      </c>
      <c r="B1988" s="259"/>
      <c r="C1988" s="42" t="s">
        <v>2481</v>
      </c>
      <c r="D1988" s="142" t="s">
        <v>2441</v>
      </c>
      <c r="E1988" s="142" t="s">
        <v>12</v>
      </c>
      <c r="F1988" s="69">
        <f t="shared" si="118"/>
        <v>476.91766999999999</v>
      </c>
      <c r="G1988" s="69">
        <v>0</v>
      </c>
      <c r="H1988" s="69">
        <v>0</v>
      </c>
      <c r="I1988" s="69">
        <v>476.91766999999999</v>
      </c>
      <c r="J1988" s="78">
        <v>0</v>
      </c>
      <c r="K1988" s="36">
        <v>45352</v>
      </c>
    </row>
    <row r="1989" spans="1:11" s="51" customFormat="1" ht="34.200000000000003" customHeight="1" x14ac:dyDescent="0.25">
      <c r="A1989" s="129">
        <v>1671</v>
      </c>
      <c r="B1989" s="260"/>
      <c r="C1989" s="42" t="s">
        <v>2482</v>
      </c>
      <c r="D1989" s="142" t="s">
        <v>2365</v>
      </c>
      <c r="E1989" s="142" t="s">
        <v>12</v>
      </c>
      <c r="F1989" s="69">
        <f t="shared" si="118"/>
        <v>999.9</v>
      </c>
      <c r="G1989" s="69">
        <v>0</v>
      </c>
      <c r="H1989" s="69">
        <v>0</v>
      </c>
      <c r="I1989" s="69">
        <v>999.9</v>
      </c>
      <c r="J1989" s="78">
        <v>0</v>
      </c>
      <c r="K1989" s="36">
        <v>45413</v>
      </c>
    </row>
    <row r="1990" spans="1:11" s="51" customFormat="1" ht="30.6" customHeight="1" x14ac:dyDescent="0.25">
      <c r="A1990" s="257" t="s">
        <v>2483</v>
      </c>
      <c r="B1990" s="257"/>
      <c r="C1990" s="257"/>
      <c r="D1990" s="257"/>
      <c r="E1990" s="257"/>
      <c r="F1990" s="79">
        <f>SUM(F1963:F1989)</f>
        <v>21243.19513</v>
      </c>
      <c r="G1990" s="79">
        <f t="shared" ref="G1990:J1990" si="119">SUM(G1963:G1989)</f>
        <v>0</v>
      </c>
      <c r="H1990" s="79">
        <f t="shared" si="119"/>
        <v>0</v>
      </c>
      <c r="I1990" s="79">
        <f t="shared" si="119"/>
        <v>21243.19513</v>
      </c>
      <c r="J1990" s="79">
        <f t="shared" si="119"/>
        <v>0</v>
      </c>
      <c r="K1990" s="80"/>
    </row>
    <row r="1991" spans="1:11" s="51" customFormat="1" ht="91.8" customHeight="1" x14ac:dyDescent="0.25">
      <c r="A1991" s="22">
        <v>1672</v>
      </c>
      <c r="B1991" s="198" t="s">
        <v>2484</v>
      </c>
      <c r="C1991" s="42" t="s">
        <v>2485</v>
      </c>
      <c r="D1991" s="142" t="s">
        <v>2486</v>
      </c>
      <c r="E1991" s="136" t="s">
        <v>12</v>
      </c>
      <c r="F1991" s="24">
        <v>920.16</v>
      </c>
      <c r="G1991" s="24">
        <v>920.16</v>
      </c>
      <c r="H1991" s="24"/>
      <c r="I1991" s="24"/>
      <c r="J1991" s="24"/>
      <c r="K1991" s="36">
        <v>44682</v>
      </c>
    </row>
    <row r="1992" spans="1:11" s="51" customFormat="1" ht="36.6" customHeight="1" x14ac:dyDescent="0.25">
      <c r="A1992" s="22">
        <v>1673</v>
      </c>
      <c r="B1992" s="198"/>
      <c r="C1992" s="96" t="s">
        <v>2487</v>
      </c>
      <c r="D1992" s="149" t="s">
        <v>2488</v>
      </c>
      <c r="E1992" s="136" t="s">
        <v>12</v>
      </c>
      <c r="F1992" s="24">
        <v>901.84199999999998</v>
      </c>
      <c r="G1992" s="24">
        <v>0</v>
      </c>
      <c r="H1992" s="24">
        <v>825.24720000000002</v>
      </c>
      <c r="I1992" s="24">
        <v>76.594800000000006</v>
      </c>
      <c r="J1992" s="24">
        <v>0</v>
      </c>
      <c r="K1992" s="36">
        <v>44896</v>
      </c>
    </row>
    <row r="1993" spans="1:11" s="51" customFormat="1" ht="34.200000000000003" customHeight="1" x14ac:dyDescent="0.25">
      <c r="A1993" s="22">
        <v>1674</v>
      </c>
      <c r="B1993" s="198"/>
      <c r="C1993" s="96" t="s">
        <v>2489</v>
      </c>
      <c r="D1993" s="149" t="s">
        <v>1370</v>
      </c>
      <c r="E1993" s="136" t="s">
        <v>12</v>
      </c>
      <c r="F1993" s="24">
        <v>1782.076</v>
      </c>
      <c r="G1993" s="24">
        <v>0</v>
      </c>
      <c r="H1993" s="24">
        <v>1782.076</v>
      </c>
      <c r="I1993" s="24">
        <v>0</v>
      </c>
      <c r="J1993" s="24">
        <v>0</v>
      </c>
      <c r="K1993" s="36">
        <v>44896</v>
      </c>
    </row>
    <row r="1994" spans="1:11" s="51" customFormat="1" ht="27" customHeight="1" x14ac:dyDescent="0.25">
      <c r="A1994" s="200" t="s">
        <v>2490</v>
      </c>
      <c r="B1994" s="200"/>
      <c r="C1994" s="200"/>
      <c r="D1994" s="200"/>
      <c r="E1994" s="200"/>
      <c r="F1994" s="151">
        <f>SUM(F1991:F1993)</f>
        <v>3604.078</v>
      </c>
      <c r="G1994" s="151">
        <f t="shared" ref="G1994:J1994" si="120">SUM(G1991:G1993)</f>
        <v>920.16</v>
      </c>
      <c r="H1994" s="151">
        <f t="shared" si="120"/>
        <v>2607.3231999999998</v>
      </c>
      <c r="I1994" s="151">
        <f t="shared" si="120"/>
        <v>76.594800000000006</v>
      </c>
      <c r="J1994" s="151">
        <f t="shared" si="120"/>
        <v>0</v>
      </c>
      <c r="K1994" s="150"/>
    </row>
    <row r="1995" spans="1:11" s="85" customFormat="1" ht="33.75" customHeight="1" x14ac:dyDescent="0.3">
      <c r="A1995" s="137">
        <v>1675</v>
      </c>
      <c r="B1995" s="249" t="s">
        <v>2883</v>
      </c>
      <c r="C1995" s="82" t="s">
        <v>2869</v>
      </c>
      <c r="D1995" s="83" t="s">
        <v>2870</v>
      </c>
      <c r="E1995" s="152" t="s">
        <v>21</v>
      </c>
      <c r="F1995" s="132">
        <v>5379.36</v>
      </c>
      <c r="G1995" s="132">
        <v>5379.3559999999998</v>
      </c>
      <c r="H1995" s="24">
        <v>0</v>
      </c>
      <c r="I1995" s="24">
        <v>0</v>
      </c>
      <c r="J1995" s="131">
        <v>0</v>
      </c>
      <c r="K1995" s="84" t="s">
        <v>72</v>
      </c>
    </row>
    <row r="1996" spans="1:11" s="85" customFormat="1" ht="33.75" customHeight="1" x14ac:dyDescent="0.3">
      <c r="A1996" s="137">
        <v>1676</v>
      </c>
      <c r="B1996" s="249"/>
      <c r="C1996" s="82" t="s">
        <v>2871</v>
      </c>
      <c r="D1996" s="83" t="s">
        <v>2872</v>
      </c>
      <c r="E1996" s="152" t="s">
        <v>21</v>
      </c>
      <c r="F1996" s="132">
        <v>92.67</v>
      </c>
      <c r="G1996" s="132">
        <v>92.665999999999997</v>
      </c>
      <c r="H1996" s="24">
        <v>0</v>
      </c>
      <c r="I1996" s="24">
        <v>0</v>
      </c>
      <c r="J1996" s="131">
        <v>0</v>
      </c>
      <c r="K1996" s="84" t="s">
        <v>169</v>
      </c>
    </row>
    <row r="1997" spans="1:11" s="85" customFormat="1" ht="66.599999999999994" customHeight="1" x14ac:dyDescent="0.3">
      <c r="A1997" s="249">
        <v>1677</v>
      </c>
      <c r="B1997" s="249"/>
      <c r="C1997" s="82" t="s">
        <v>2873</v>
      </c>
      <c r="D1997" s="86" t="s">
        <v>2874</v>
      </c>
      <c r="E1997" s="152" t="s">
        <v>21</v>
      </c>
      <c r="F1997" s="132">
        <v>101.604</v>
      </c>
      <c r="G1997" s="132">
        <v>101.604</v>
      </c>
      <c r="H1997" s="24">
        <v>0</v>
      </c>
      <c r="I1997" s="24">
        <v>0</v>
      </c>
      <c r="J1997" s="131">
        <v>0</v>
      </c>
      <c r="K1997" s="84" t="s">
        <v>111</v>
      </c>
    </row>
    <row r="1998" spans="1:11" s="85" customFormat="1" ht="18.600000000000001" customHeight="1" x14ac:dyDescent="0.3">
      <c r="A1998" s="253"/>
      <c r="B1998" s="249"/>
      <c r="C1998" s="250" t="s">
        <v>2875</v>
      </c>
      <c r="D1998" s="251"/>
      <c r="E1998" s="251"/>
      <c r="F1998" s="251"/>
      <c r="G1998" s="151">
        <f>SUM(G1995:G1997)</f>
        <v>5573.6260000000002</v>
      </c>
      <c r="H1998" s="24">
        <v>0</v>
      </c>
      <c r="I1998" s="131">
        <v>0</v>
      </c>
      <c r="J1998" s="24">
        <v>0</v>
      </c>
      <c r="K1998" s="131">
        <v>0</v>
      </c>
    </row>
    <row r="1999" spans="1:11" s="85" customFormat="1" ht="30" customHeight="1" x14ac:dyDescent="0.3">
      <c r="A1999" s="137">
        <v>1678</v>
      </c>
      <c r="B1999" s="249"/>
      <c r="C1999" s="82" t="s">
        <v>2876</v>
      </c>
      <c r="D1999" s="83" t="s">
        <v>2870</v>
      </c>
      <c r="E1999" s="152" t="s">
        <v>21</v>
      </c>
      <c r="F1999" s="132">
        <v>7682.81</v>
      </c>
      <c r="G1999" s="131">
        <v>0</v>
      </c>
      <c r="H1999" s="131">
        <v>7682.8140000000003</v>
      </c>
      <c r="I1999" s="131">
        <v>0</v>
      </c>
      <c r="J1999" s="24">
        <v>0</v>
      </c>
      <c r="K1999" s="84" t="s">
        <v>282</v>
      </c>
    </row>
    <row r="2000" spans="1:11" s="85" customFormat="1" ht="30" customHeight="1" x14ac:dyDescent="0.3">
      <c r="A2000" s="249">
        <v>1679</v>
      </c>
      <c r="B2000" s="249"/>
      <c r="C2000" s="82" t="s">
        <v>2877</v>
      </c>
      <c r="D2000" s="83" t="s">
        <v>2872</v>
      </c>
      <c r="E2000" s="152" t="s">
        <v>21</v>
      </c>
      <c r="F2000" s="132">
        <v>419.16</v>
      </c>
      <c r="G2000" s="131">
        <v>0</v>
      </c>
      <c r="H2000" s="131">
        <v>419.16</v>
      </c>
      <c r="I2000" s="131">
        <v>0</v>
      </c>
      <c r="J2000" s="24">
        <v>0</v>
      </c>
      <c r="K2000" s="84" t="s">
        <v>2878</v>
      </c>
    </row>
    <row r="2001" spans="1:11" s="85" customFormat="1" ht="20.399999999999999" customHeight="1" x14ac:dyDescent="0.3">
      <c r="A2001" s="253"/>
      <c r="B2001" s="249"/>
      <c r="C2001" s="245" t="s">
        <v>2879</v>
      </c>
      <c r="D2001" s="252"/>
      <c r="E2001" s="252"/>
      <c r="F2001" s="252"/>
      <c r="G2001" s="131">
        <v>0</v>
      </c>
      <c r="H2001" s="151">
        <f>SUM(H1999:H2000)</f>
        <v>8101.9740000000002</v>
      </c>
      <c r="I2001" s="131">
        <v>0</v>
      </c>
      <c r="J2001" s="24">
        <v>0</v>
      </c>
      <c r="K2001" s="150"/>
    </row>
    <row r="2002" spans="1:11" s="85" customFormat="1" ht="46.2" customHeight="1" x14ac:dyDescent="0.3">
      <c r="A2002" s="137">
        <v>1680</v>
      </c>
      <c r="B2002" s="249"/>
      <c r="C2002" s="82" t="s">
        <v>2880</v>
      </c>
      <c r="D2002" s="83" t="s">
        <v>2870</v>
      </c>
      <c r="E2002" s="152" t="s">
        <v>21</v>
      </c>
      <c r="F2002" s="132">
        <v>1697.66</v>
      </c>
      <c r="G2002" s="131">
        <v>0</v>
      </c>
      <c r="H2002" s="131">
        <v>0</v>
      </c>
      <c r="I2002" s="131">
        <v>1697.664</v>
      </c>
      <c r="J2002" s="131">
        <v>0</v>
      </c>
      <c r="K2002" s="84" t="s">
        <v>318</v>
      </c>
    </row>
    <row r="2003" spans="1:11" s="85" customFormat="1" ht="39" customHeight="1" x14ac:dyDescent="0.3">
      <c r="A2003" s="249">
        <v>1681</v>
      </c>
      <c r="B2003" s="249"/>
      <c r="C2003" s="82" t="s">
        <v>2881</v>
      </c>
      <c r="D2003" s="83" t="s">
        <v>2872</v>
      </c>
      <c r="E2003" s="152" t="s">
        <v>21</v>
      </c>
      <c r="F2003" s="132">
        <v>84.5</v>
      </c>
      <c r="G2003" s="131">
        <v>0</v>
      </c>
      <c r="H2003" s="131">
        <v>0</v>
      </c>
      <c r="I2003" s="131">
        <v>84.5</v>
      </c>
      <c r="J2003" s="131">
        <v>0</v>
      </c>
      <c r="K2003" s="84" t="s">
        <v>2793</v>
      </c>
    </row>
    <row r="2004" spans="1:11" s="85" customFormat="1" ht="36.6" customHeight="1" x14ac:dyDescent="0.3">
      <c r="A2004" s="253"/>
      <c r="B2004" s="249"/>
      <c r="C2004" s="250" t="s">
        <v>2882</v>
      </c>
      <c r="D2004" s="251"/>
      <c r="E2004" s="251"/>
      <c r="F2004" s="251"/>
      <c r="G2004" s="131">
        <v>0</v>
      </c>
      <c r="H2004" s="133">
        <v>0</v>
      </c>
      <c r="I2004" s="133">
        <f>SUM(I2002:I2003)</f>
        <v>1782.164</v>
      </c>
      <c r="J2004" s="133">
        <v>0</v>
      </c>
      <c r="K2004" s="87"/>
    </row>
    <row r="2005" spans="1:11" s="155" customFormat="1" ht="55.8" customHeight="1" x14ac:dyDescent="0.25">
      <c r="A2005" s="42" t="s">
        <v>2797</v>
      </c>
      <c r="B2005" s="255" t="s">
        <v>2884</v>
      </c>
      <c r="C2005" s="153" t="s">
        <v>2645</v>
      </c>
      <c r="D2005" s="190" t="s">
        <v>2646</v>
      </c>
      <c r="E2005" s="42" t="s">
        <v>21</v>
      </c>
      <c r="F2005" s="154">
        <v>8054.5319600000003</v>
      </c>
      <c r="G2005" s="154">
        <v>8054.5319600000003</v>
      </c>
      <c r="H2005" s="24">
        <v>0</v>
      </c>
      <c r="I2005" s="131">
        <v>0</v>
      </c>
      <c r="J2005" s="24">
        <v>0</v>
      </c>
      <c r="K2005" s="153" t="s">
        <v>69</v>
      </c>
    </row>
    <row r="2006" spans="1:11" s="155" customFormat="1" ht="78" customHeight="1" x14ac:dyDescent="0.25">
      <c r="A2006" s="42" t="s">
        <v>2798</v>
      </c>
      <c r="B2006" s="199"/>
      <c r="C2006" s="153" t="s">
        <v>2647</v>
      </c>
      <c r="D2006" s="190" t="s">
        <v>2648</v>
      </c>
      <c r="E2006" s="42" t="s">
        <v>21</v>
      </c>
      <c r="F2006" s="154">
        <v>1890.6215099999999</v>
      </c>
      <c r="G2006" s="154">
        <v>1890.6215099999999</v>
      </c>
      <c r="H2006" s="24">
        <v>0</v>
      </c>
      <c r="I2006" s="131">
        <v>0</v>
      </c>
      <c r="J2006" s="24">
        <v>0</v>
      </c>
      <c r="K2006" s="153" t="s">
        <v>72</v>
      </c>
    </row>
    <row r="2007" spans="1:11" s="155" customFormat="1" ht="44.4" customHeight="1" x14ac:dyDescent="0.25">
      <c r="A2007" s="42" t="s">
        <v>2799</v>
      </c>
      <c r="B2007" s="199"/>
      <c r="C2007" s="153" t="s">
        <v>2649</v>
      </c>
      <c r="D2007" s="190" t="s">
        <v>2650</v>
      </c>
      <c r="E2007" s="42" t="s">
        <v>21</v>
      </c>
      <c r="F2007" s="154">
        <v>1916.6676</v>
      </c>
      <c r="G2007" s="154">
        <v>1916.6676</v>
      </c>
      <c r="H2007" s="24">
        <v>0</v>
      </c>
      <c r="I2007" s="131">
        <v>0</v>
      </c>
      <c r="J2007" s="24">
        <v>0</v>
      </c>
      <c r="K2007" s="153" t="s">
        <v>69</v>
      </c>
    </row>
    <row r="2008" spans="1:11" s="155" customFormat="1" ht="44.4" customHeight="1" x14ac:dyDescent="0.25">
      <c r="A2008" s="42" t="s">
        <v>2800</v>
      </c>
      <c r="B2008" s="199"/>
      <c r="C2008" s="153" t="s">
        <v>2651</v>
      </c>
      <c r="D2008" s="190" t="s">
        <v>2650</v>
      </c>
      <c r="E2008" s="42" t="s">
        <v>21</v>
      </c>
      <c r="F2008" s="154">
        <v>1967.6124</v>
      </c>
      <c r="G2008" s="154">
        <v>1967.6124</v>
      </c>
      <c r="H2008" s="24">
        <v>0</v>
      </c>
      <c r="I2008" s="131">
        <v>0</v>
      </c>
      <c r="J2008" s="24">
        <v>0</v>
      </c>
      <c r="K2008" s="153" t="s">
        <v>69</v>
      </c>
    </row>
    <row r="2009" spans="1:11" s="155" customFormat="1" ht="69.900000000000006" customHeight="1" x14ac:dyDescent="0.25">
      <c r="A2009" s="42" t="s">
        <v>2801</v>
      </c>
      <c r="B2009" s="199"/>
      <c r="C2009" s="153" t="s">
        <v>2652</v>
      </c>
      <c r="D2009" s="190" t="s">
        <v>2653</v>
      </c>
      <c r="E2009" s="42" t="s">
        <v>21</v>
      </c>
      <c r="F2009" s="154">
        <v>141.44767999999999</v>
      </c>
      <c r="G2009" s="154">
        <v>141.44767999999999</v>
      </c>
      <c r="H2009" s="24">
        <v>0</v>
      </c>
      <c r="I2009" s="131">
        <v>0</v>
      </c>
      <c r="J2009" s="24">
        <v>0</v>
      </c>
      <c r="K2009" s="153" t="s">
        <v>125</v>
      </c>
    </row>
    <row r="2010" spans="1:11" s="155" customFormat="1" ht="78.599999999999994" customHeight="1" x14ac:dyDescent="0.25">
      <c r="A2010" s="42" t="s">
        <v>2802</v>
      </c>
      <c r="B2010" s="199"/>
      <c r="C2010" s="153" t="s">
        <v>2654</v>
      </c>
      <c r="D2010" s="190" t="s">
        <v>2655</v>
      </c>
      <c r="E2010" s="42" t="s">
        <v>21</v>
      </c>
      <c r="F2010" s="154">
        <v>251.73788999999999</v>
      </c>
      <c r="G2010" s="154">
        <v>251.73788999999999</v>
      </c>
      <c r="H2010" s="24">
        <v>0</v>
      </c>
      <c r="I2010" s="131">
        <v>0</v>
      </c>
      <c r="J2010" s="24">
        <v>0</v>
      </c>
      <c r="K2010" s="153" t="s">
        <v>125</v>
      </c>
    </row>
    <row r="2011" spans="1:11" s="155" customFormat="1" ht="84" customHeight="1" x14ac:dyDescent="0.25">
      <c r="A2011" s="42" t="s">
        <v>2803</v>
      </c>
      <c r="B2011" s="199"/>
      <c r="C2011" s="153" t="s">
        <v>2656</v>
      </c>
      <c r="D2011" s="190" t="s">
        <v>2657</v>
      </c>
      <c r="E2011" s="42" t="s">
        <v>21</v>
      </c>
      <c r="F2011" s="154">
        <v>154.67060000000001</v>
      </c>
      <c r="G2011" s="154">
        <v>154.67060000000001</v>
      </c>
      <c r="H2011" s="24">
        <v>0</v>
      </c>
      <c r="I2011" s="131">
        <v>0</v>
      </c>
      <c r="J2011" s="24">
        <v>0</v>
      </c>
      <c r="K2011" s="153" t="s">
        <v>125</v>
      </c>
    </row>
    <row r="2012" spans="1:11" s="155" customFormat="1" ht="69.900000000000006" customHeight="1" x14ac:dyDescent="0.25">
      <c r="A2012" s="42" t="s">
        <v>2804</v>
      </c>
      <c r="B2012" s="199"/>
      <c r="C2012" s="153" t="s">
        <v>2658</v>
      </c>
      <c r="D2012" s="190" t="s">
        <v>2659</v>
      </c>
      <c r="E2012" s="42" t="s">
        <v>21</v>
      </c>
      <c r="F2012" s="154">
        <v>225.39336</v>
      </c>
      <c r="G2012" s="154">
        <v>225.39336</v>
      </c>
      <c r="H2012" s="24">
        <v>0</v>
      </c>
      <c r="I2012" s="131">
        <v>0</v>
      </c>
      <c r="J2012" s="24">
        <v>0</v>
      </c>
      <c r="K2012" s="153" t="s">
        <v>125</v>
      </c>
    </row>
    <row r="2013" spans="1:11" s="155" customFormat="1" ht="43.5" customHeight="1" x14ac:dyDescent="0.25">
      <c r="A2013" s="42" t="s">
        <v>2805</v>
      </c>
      <c r="B2013" s="199"/>
      <c r="C2013" s="153" t="s">
        <v>2660</v>
      </c>
      <c r="D2013" s="190" t="s">
        <v>2661</v>
      </c>
      <c r="E2013" s="42" t="s">
        <v>21</v>
      </c>
      <c r="F2013" s="154">
        <v>11124</v>
      </c>
      <c r="G2013" s="154">
        <v>11124</v>
      </c>
      <c r="H2013" s="24">
        <v>0</v>
      </c>
      <c r="I2013" s="131">
        <v>0</v>
      </c>
      <c r="J2013" s="24">
        <v>0</v>
      </c>
      <c r="K2013" s="153" t="s">
        <v>125</v>
      </c>
    </row>
    <row r="2014" spans="1:11" s="155" customFormat="1" ht="44.4" customHeight="1" x14ac:dyDescent="0.25">
      <c r="A2014" s="42" t="s">
        <v>2806</v>
      </c>
      <c r="B2014" s="199"/>
      <c r="C2014" s="153" t="s">
        <v>2662</v>
      </c>
      <c r="D2014" s="190" t="s">
        <v>2663</v>
      </c>
      <c r="E2014" s="42" t="s">
        <v>21</v>
      </c>
      <c r="F2014" s="154">
        <v>6625.3340099999996</v>
      </c>
      <c r="G2014" s="154">
        <v>6625.3340099999996</v>
      </c>
      <c r="H2014" s="24">
        <v>0</v>
      </c>
      <c r="I2014" s="131">
        <v>0</v>
      </c>
      <c r="J2014" s="24">
        <v>0</v>
      </c>
      <c r="K2014" s="153" t="s">
        <v>125</v>
      </c>
    </row>
    <row r="2015" spans="1:11" s="155" customFormat="1" ht="44.4" customHeight="1" x14ac:dyDescent="0.25">
      <c r="A2015" s="42" t="s">
        <v>2807</v>
      </c>
      <c r="B2015" s="199"/>
      <c r="C2015" s="153" t="s">
        <v>2664</v>
      </c>
      <c r="D2015" s="190" t="s">
        <v>2665</v>
      </c>
      <c r="E2015" s="42" t="s">
        <v>21</v>
      </c>
      <c r="F2015" s="154">
        <v>504.048</v>
      </c>
      <c r="G2015" s="154">
        <v>504.048</v>
      </c>
      <c r="H2015" s="24">
        <v>0</v>
      </c>
      <c r="I2015" s="131">
        <v>0</v>
      </c>
      <c r="J2015" s="24">
        <v>0</v>
      </c>
      <c r="K2015" s="153" t="s">
        <v>69</v>
      </c>
    </row>
    <row r="2016" spans="1:11" s="155" customFormat="1" ht="31.65" customHeight="1" x14ac:dyDescent="0.25">
      <c r="A2016" s="42" t="s">
        <v>2808</v>
      </c>
      <c r="B2016" s="199"/>
      <c r="C2016" s="153" t="s">
        <v>2666</v>
      </c>
      <c r="D2016" s="190" t="s">
        <v>2667</v>
      </c>
      <c r="E2016" s="42" t="s">
        <v>21</v>
      </c>
      <c r="F2016" s="154">
        <v>957.84505999999999</v>
      </c>
      <c r="G2016" s="154">
        <v>957.84505999999999</v>
      </c>
      <c r="H2016" s="24">
        <v>0</v>
      </c>
      <c r="I2016" s="131">
        <v>0</v>
      </c>
      <c r="J2016" s="24">
        <v>0</v>
      </c>
      <c r="K2016" s="153" t="s">
        <v>69</v>
      </c>
    </row>
    <row r="2017" spans="1:11" s="155" customFormat="1" ht="44.4" customHeight="1" x14ac:dyDescent="0.25">
      <c r="A2017" s="42" t="s">
        <v>2809</v>
      </c>
      <c r="B2017" s="199"/>
      <c r="C2017" s="153" t="s">
        <v>2668</v>
      </c>
      <c r="D2017" s="190" t="s">
        <v>2669</v>
      </c>
      <c r="E2017" s="42" t="s">
        <v>21</v>
      </c>
      <c r="F2017" s="154">
        <v>902.47199999999998</v>
      </c>
      <c r="G2017" s="154">
        <v>902.47199999999998</v>
      </c>
      <c r="H2017" s="24">
        <v>0</v>
      </c>
      <c r="I2017" s="131">
        <v>0</v>
      </c>
      <c r="J2017" s="24">
        <v>0</v>
      </c>
      <c r="K2017" s="153" t="s">
        <v>69</v>
      </c>
    </row>
    <row r="2018" spans="1:11" s="155" customFormat="1" ht="73.8" customHeight="1" x14ac:dyDescent="0.25">
      <c r="A2018" s="42" t="s">
        <v>2810</v>
      </c>
      <c r="B2018" s="199"/>
      <c r="C2018" s="153" t="s">
        <v>2670</v>
      </c>
      <c r="D2018" s="190" t="s">
        <v>2671</v>
      </c>
      <c r="E2018" s="42" t="s">
        <v>21</v>
      </c>
      <c r="F2018" s="154">
        <v>899.94343000000003</v>
      </c>
      <c r="G2018" s="154">
        <v>899.94343000000003</v>
      </c>
      <c r="H2018" s="24">
        <v>0</v>
      </c>
      <c r="I2018" s="131">
        <v>0</v>
      </c>
      <c r="J2018" s="24">
        <v>0</v>
      </c>
      <c r="K2018" s="153" t="s">
        <v>72</v>
      </c>
    </row>
    <row r="2019" spans="1:11" s="155" customFormat="1" ht="99.6" customHeight="1" x14ac:dyDescent="0.25">
      <c r="A2019" s="42" t="s">
        <v>2811</v>
      </c>
      <c r="B2019" s="199"/>
      <c r="C2019" s="153" t="s">
        <v>2672</v>
      </c>
      <c r="D2019" s="190" t="s">
        <v>2673</v>
      </c>
      <c r="E2019" s="42" t="s">
        <v>21</v>
      </c>
      <c r="F2019" s="154">
        <v>659.76031</v>
      </c>
      <c r="G2019" s="154">
        <v>659.76031</v>
      </c>
      <c r="H2019" s="24">
        <v>0</v>
      </c>
      <c r="I2019" s="131">
        <v>0</v>
      </c>
      <c r="J2019" s="24">
        <v>0</v>
      </c>
      <c r="K2019" s="153" t="s">
        <v>125</v>
      </c>
    </row>
    <row r="2020" spans="1:11" s="155" customFormat="1" ht="43.8" customHeight="1" x14ac:dyDescent="0.25">
      <c r="A2020" s="42" t="s">
        <v>2812</v>
      </c>
      <c r="B2020" s="199"/>
      <c r="C2020" s="153" t="s">
        <v>2674</v>
      </c>
      <c r="D2020" s="190" t="s">
        <v>2675</v>
      </c>
      <c r="E2020" s="42" t="s">
        <v>21</v>
      </c>
      <c r="F2020" s="154">
        <v>965.57695000000001</v>
      </c>
      <c r="G2020" s="154">
        <v>965.57695000000001</v>
      </c>
      <c r="H2020" s="24">
        <v>0</v>
      </c>
      <c r="I2020" s="131">
        <v>0</v>
      </c>
      <c r="J2020" s="24">
        <v>0</v>
      </c>
      <c r="K2020" s="153" t="s">
        <v>2676</v>
      </c>
    </row>
    <row r="2021" spans="1:11" s="155" customFormat="1" ht="36.75" customHeight="1" x14ac:dyDescent="0.25">
      <c r="A2021" s="42" t="s">
        <v>2813</v>
      </c>
      <c r="B2021" s="199"/>
      <c r="C2021" s="153" t="s">
        <v>2677</v>
      </c>
      <c r="D2021" s="190" t="s">
        <v>2678</v>
      </c>
      <c r="E2021" s="42" t="s">
        <v>21</v>
      </c>
      <c r="F2021" s="154">
        <v>963.97199999999998</v>
      </c>
      <c r="G2021" s="154">
        <v>963.97199999999998</v>
      </c>
      <c r="H2021" s="24">
        <v>0</v>
      </c>
      <c r="I2021" s="131">
        <v>0</v>
      </c>
      <c r="J2021" s="24">
        <v>0</v>
      </c>
      <c r="K2021" s="153" t="s">
        <v>2676</v>
      </c>
    </row>
    <row r="2022" spans="1:11" s="155" customFormat="1" ht="36.75" customHeight="1" x14ac:dyDescent="0.25">
      <c r="A2022" s="42" t="s">
        <v>2814</v>
      </c>
      <c r="B2022" s="199"/>
      <c r="C2022" s="153" t="s">
        <v>2679</v>
      </c>
      <c r="D2022" s="190" t="s">
        <v>2680</v>
      </c>
      <c r="E2022" s="42" t="s">
        <v>21</v>
      </c>
      <c r="F2022" s="154">
        <v>187.58160000000001</v>
      </c>
      <c r="G2022" s="154">
        <v>187.58160000000001</v>
      </c>
      <c r="H2022" s="24">
        <v>0</v>
      </c>
      <c r="I2022" s="131">
        <v>0</v>
      </c>
      <c r="J2022" s="24">
        <v>0</v>
      </c>
      <c r="K2022" s="153" t="s">
        <v>2676</v>
      </c>
    </row>
    <row r="2023" spans="1:11" s="155" customFormat="1" ht="67.8" customHeight="1" x14ac:dyDescent="0.25">
      <c r="A2023" s="42" t="s">
        <v>2815</v>
      </c>
      <c r="B2023" s="199"/>
      <c r="C2023" s="153" t="s">
        <v>2681</v>
      </c>
      <c r="D2023" s="190" t="s">
        <v>2682</v>
      </c>
      <c r="E2023" s="42" t="s">
        <v>21</v>
      </c>
      <c r="F2023" s="154">
        <v>672.94755999999995</v>
      </c>
      <c r="G2023" s="154">
        <v>672.94755999999995</v>
      </c>
      <c r="H2023" s="24">
        <v>0</v>
      </c>
      <c r="I2023" s="131">
        <v>0</v>
      </c>
      <c r="J2023" s="24">
        <v>0</v>
      </c>
      <c r="K2023" s="153" t="s">
        <v>2676</v>
      </c>
    </row>
    <row r="2024" spans="1:11" s="155" customFormat="1" ht="86.4" customHeight="1" x14ac:dyDescent="0.25">
      <c r="A2024" s="42" t="s">
        <v>2816</v>
      </c>
      <c r="B2024" s="199"/>
      <c r="C2024" s="153" t="s">
        <v>2683</v>
      </c>
      <c r="D2024" s="190" t="s">
        <v>2684</v>
      </c>
      <c r="E2024" s="42" t="s">
        <v>21</v>
      </c>
      <c r="F2024" s="154">
        <v>233.75452000000001</v>
      </c>
      <c r="G2024" s="154">
        <v>233.75452000000001</v>
      </c>
      <c r="H2024" s="24">
        <v>0</v>
      </c>
      <c r="I2024" s="131">
        <v>0</v>
      </c>
      <c r="J2024" s="24">
        <v>0</v>
      </c>
      <c r="K2024" s="153" t="s">
        <v>125</v>
      </c>
    </row>
    <row r="2025" spans="1:11" s="155" customFormat="1" ht="83.4" customHeight="1" x14ac:dyDescent="0.25">
      <c r="A2025" s="42" t="s">
        <v>2817</v>
      </c>
      <c r="B2025" s="199"/>
      <c r="C2025" s="153" t="s">
        <v>2685</v>
      </c>
      <c r="D2025" s="190" t="s">
        <v>2686</v>
      </c>
      <c r="E2025" s="42" t="s">
        <v>21</v>
      </c>
      <c r="F2025" s="154">
        <v>119.75994</v>
      </c>
      <c r="G2025" s="154">
        <v>119.75994</v>
      </c>
      <c r="H2025" s="24">
        <v>0</v>
      </c>
      <c r="I2025" s="131">
        <v>0</v>
      </c>
      <c r="J2025" s="24">
        <v>0</v>
      </c>
      <c r="K2025" s="153" t="s">
        <v>76</v>
      </c>
    </row>
    <row r="2026" spans="1:11" s="155" customFormat="1" ht="60" customHeight="1" x14ac:dyDescent="0.25">
      <c r="A2026" s="42" t="s">
        <v>2818</v>
      </c>
      <c r="B2026" s="199"/>
      <c r="C2026" s="153" t="s">
        <v>2687</v>
      </c>
      <c r="D2026" s="190" t="s">
        <v>2688</v>
      </c>
      <c r="E2026" s="42" t="s">
        <v>21</v>
      </c>
      <c r="F2026" s="154">
        <v>3618.50416</v>
      </c>
      <c r="G2026" s="154">
        <v>3618.50416</v>
      </c>
      <c r="H2026" s="24">
        <v>0</v>
      </c>
      <c r="I2026" s="131">
        <v>0</v>
      </c>
      <c r="J2026" s="24">
        <v>0</v>
      </c>
      <c r="K2026" s="153" t="s">
        <v>72</v>
      </c>
    </row>
    <row r="2027" spans="1:11" s="155" customFormat="1" ht="63.6" customHeight="1" x14ac:dyDescent="0.25">
      <c r="A2027" s="42" t="s">
        <v>2819</v>
      </c>
      <c r="B2027" s="199"/>
      <c r="C2027" s="153" t="s">
        <v>2689</v>
      </c>
      <c r="D2027" s="190" t="s">
        <v>2690</v>
      </c>
      <c r="E2027" s="42" t="s">
        <v>21</v>
      </c>
      <c r="F2027" s="154">
        <v>1965.3408300000001</v>
      </c>
      <c r="G2027" s="154">
        <v>1965.3408300000001</v>
      </c>
      <c r="H2027" s="24">
        <v>0</v>
      </c>
      <c r="I2027" s="131">
        <v>0</v>
      </c>
      <c r="J2027" s="24">
        <v>0</v>
      </c>
      <c r="K2027" s="153" t="s">
        <v>72</v>
      </c>
    </row>
    <row r="2028" spans="1:11" s="155" customFormat="1" ht="50.4" customHeight="1" x14ac:dyDescent="0.25">
      <c r="A2028" s="42" t="s">
        <v>2820</v>
      </c>
      <c r="B2028" s="199"/>
      <c r="C2028" s="153" t="s">
        <v>2691</v>
      </c>
      <c r="D2028" s="190" t="s">
        <v>2692</v>
      </c>
      <c r="E2028" s="42" t="s">
        <v>21</v>
      </c>
      <c r="F2028" s="154">
        <v>1422.3348100000001</v>
      </c>
      <c r="G2028" s="154">
        <v>1422.3348100000001</v>
      </c>
      <c r="H2028" s="24">
        <v>0</v>
      </c>
      <c r="I2028" s="131">
        <v>0</v>
      </c>
      <c r="J2028" s="24">
        <v>0</v>
      </c>
      <c r="K2028" s="153" t="s">
        <v>76</v>
      </c>
    </row>
    <row r="2029" spans="1:11" s="155" customFormat="1" ht="63" customHeight="1" x14ac:dyDescent="0.25">
      <c r="A2029" s="42" t="s">
        <v>2821</v>
      </c>
      <c r="B2029" s="199"/>
      <c r="C2029" s="153" t="s">
        <v>2693</v>
      </c>
      <c r="D2029" s="190" t="s">
        <v>2694</v>
      </c>
      <c r="E2029" s="42" t="s">
        <v>21</v>
      </c>
      <c r="F2029" s="154">
        <v>143.02085</v>
      </c>
      <c r="G2029" s="154">
        <v>143.02085</v>
      </c>
      <c r="H2029" s="24">
        <v>0</v>
      </c>
      <c r="I2029" s="131">
        <v>0</v>
      </c>
      <c r="J2029" s="24">
        <v>0</v>
      </c>
      <c r="K2029" s="153" t="s">
        <v>72</v>
      </c>
    </row>
    <row r="2030" spans="1:11" s="155" customFormat="1" ht="74.400000000000006" customHeight="1" x14ac:dyDescent="0.25">
      <c r="A2030" s="42" t="s">
        <v>2822</v>
      </c>
      <c r="B2030" s="199"/>
      <c r="C2030" s="153" t="s">
        <v>2695</v>
      </c>
      <c r="D2030" s="190" t="s">
        <v>2696</v>
      </c>
      <c r="E2030" s="42" t="s">
        <v>21</v>
      </c>
      <c r="F2030" s="154">
        <v>390.03728000000001</v>
      </c>
      <c r="G2030" s="154">
        <v>390.03728000000001</v>
      </c>
      <c r="H2030" s="24">
        <v>0</v>
      </c>
      <c r="I2030" s="131">
        <v>0</v>
      </c>
      <c r="J2030" s="24">
        <v>0</v>
      </c>
      <c r="K2030" s="153" t="s">
        <v>72</v>
      </c>
    </row>
    <row r="2031" spans="1:11" s="155" customFormat="1" ht="44.4" customHeight="1" x14ac:dyDescent="0.25">
      <c r="A2031" s="42" t="s">
        <v>2823</v>
      </c>
      <c r="B2031" s="199"/>
      <c r="C2031" s="153" t="s">
        <v>2697</v>
      </c>
      <c r="D2031" s="190" t="s">
        <v>2698</v>
      </c>
      <c r="E2031" s="42" t="s">
        <v>21</v>
      </c>
      <c r="F2031" s="154">
        <v>3538.0003200000001</v>
      </c>
      <c r="G2031" s="154">
        <v>3538.0003200000001</v>
      </c>
      <c r="H2031" s="24">
        <v>0</v>
      </c>
      <c r="I2031" s="131">
        <v>0</v>
      </c>
      <c r="J2031" s="24">
        <v>0</v>
      </c>
      <c r="K2031" s="153" t="s">
        <v>69</v>
      </c>
    </row>
    <row r="2032" spans="1:11" s="155" customFormat="1" ht="46.5" customHeight="1" x14ac:dyDescent="0.25">
      <c r="A2032" s="42" t="s">
        <v>2824</v>
      </c>
      <c r="B2032" s="199"/>
      <c r="C2032" s="153" t="s">
        <v>2699</v>
      </c>
      <c r="D2032" s="190" t="s">
        <v>2700</v>
      </c>
      <c r="E2032" s="42" t="s">
        <v>21</v>
      </c>
      <c r="F2032" s="154">
        <v>330.32443000000001</v>
      </c>
      <c r="G2032" s="154">
        <v>330.32443000000001</v>
      </c>
      <c r="H2032" s="24">
        <v>0</v>
      </c>
      <c r="I2032" s="131">
        <v>0</v>
      </c>
      <c r="J2032" s="24">
        <v>0</v>
      </c>
      <c r="K2032" s="153" t="s">
        <v>72</v>
      </c>
    </row>
    <row r="2033" spans="1:11" s="155" customFormat="1" ht="51" customHeight="1" x14ac:dyDescent="0.25">
      <c r="A2033" s="42" t="s">
        <v>2825</v>
      </c>
      <c r="B2033" s="199"/>
      <c r="C2033" s="153" t="s">
        <v>2701</v>
      </c>
      <c r="D2033" s="190" t="s">
        <v>2702</v>
      </c>
      <c r="E2033" s="42" t="s">
        <v>21</v>
      </c>
      <c r="F2033" s="154">
        <v>1660.23497</v>
      </c>
      <c r="G2033" s="154">
        <v>1660.23497</v>
      </c>
      <c r="H2033" s="24">
        <v>0</v>
      </c>
      <c r="I2033" s="131">
        <v>0</v>
      </c>
      <c r="J2033" s="24">
        <v>0</v>
      </c>
      <c r="K2033" s="153" t="s">
        <v>72</v>
      </c>
    </row>
    <row r="2034" spans="1:11" s="155" customFormat="1" ht="69" customHeight="1" x14ac:dyDescent="0.25">
      <c r="A2034" s="42" t="s">
        <v>2826</v>
      </c>
      <c r="B2034" s="199"/>
      <c r="C2034" s="153" t="s">
        <v>2703</v>
      </c>
      <c r="D2034" s="190" t="s">
        <v>2704</v>
      </c>
      <c r="E2034" s="42" t="s">
        <v>21</v>
      </c>
      <c r="F2034" s="154">
        <v>1556.45551</v>
      </c>
      <c r="G2034" s="154">
        <v>1556.45551</v>
      </c>
      <c r="H2034" s="24">
        <v>0</v>
      </c>
      <c r="I2034" s="131">
        <v>0</v>
      </c>
      <c r="J2034" s="24">
        <v>0</v>
      </c>
      <c r="K2034" s="153" t="s">
        <v>76</v>
      </c>
    </row>
    <row r="2035" spans="1:11" s="155" customFormat="1" ht="57.15" customHeight="1" x14ac:dyDescent="0.25">
      <c r="A2035" s="42" t="s">
        <v>2827</v>
      </c>
      <c r="B2035" s="199"/>
      <c r="C2035" s="153" t="s">
        <v>2705</v>
      </c>
      <c r="D2035" s="190" t="s">
        <v>2706</v>
      </c>
      <c r="E2035" s="42" t="s">
        <v>21</v>
      </c>
      <c r="F2035" s="154">
        <v>180.46436</v>
      </c>
      <c r="G2035" s="154">
        <v>180.46436</v>
      </c>
      <c r="H2035" s="24">
        <v>0</v>
      </c>
      <c r="I2035" s="131">
        <v>0</v>
      </c>
      <c r="J2035" s="24">
        <v>0</v>
      </c>
      <c r="K2035" s="153" t="s">
        <v>125</v>
      </c>
    </row>
    <row r="2036" spans="1:11" s="155" customFormat="1" ht="44.4" customHeight="1" x14ac:dyDescent="0.25">
      <c r="A2036" s="42" t="s">
        <v>2828</v>
      </c>
      <c r="B2036" s="199"/>
      <c r="C2036" s="153" t="s">
        <v>2707</v>
      </c>
      <c r="D2036" s="190" t="s">
        <v>2708</v>
      </c>
      <c r="E2036" s="42" t="s">
        <v>21</v>
      </c>
      <c r="F2036" s="154">
        <v>2043.8186499999999</v>
      </c>
      <c r="G2036" s="154">
        <v>2043.8186499999999</v>
      </c>
      <c r="H2036" s="24">
        <v>0</v>
      </c>
      <c r="I2036" s="131">
        <v>0</v>
      </c>
      <c r="J2036" s="24">
        <v>0</v>
      </c>
      <c r="K2036" s="153" t="s">
        <v>76</v>
      </c>
    </row>
    <row r="2037" spans="1:11" s="155" customFormat="1" ht="44.4" customHeight="1" x14ac:dyDescent="0.25">
      <c r="A2037" s="42" t="s">
        <v>2829</v>
      </c>
      <c r="B2037" s="199"/>
      <c r="C2037" s="153" t="s">
        <v>2709</v>
      </c>
      <c r="D2037" s="190" t="s">
        <v>2710</v>
      </c>
      <c r="E2037" s="42" t="s">
        <v>21</v>
      </c>
      <c r="F2037" s="154">
        <v>2047.4311</v>
      </c>
      <c r="G2037" s="154">
        <v>2047.4311</v>
      </c>
      <c r="H2037" s="24">
        <v>0</v>
      </c>
      <c r="I2037" s="131">
        <v>0</v>
      </c>
      <c r="J2037" s="24">
        <v>0</v>
      </c>
      <c r="K2037" s="153" t="s">
        <v>76</v>
      </c>
    </row>
    <row r="2038" spans="1:11" s="155" customFormat="1" ht="44.4" customHeight="1" x14ac:dyDescent="0.25">
      <c r="A2038" s="42" t="s">
        <v>2830</v>
      </c>
      <c r="B2038" s="199"/>
      <c r="C2038" s="153" t="s">
        <v>2711</v>
      </c>
      <c r="D2038" s="190" t="s">
        <v>2712</v>
      </c>
      <c r="E2038" s="42" t="s">
        <v>21</v>
      </c>
      <c r="F2038" s="154">
        <v>238.17679000000001</v>
      </c>
      <c r="G2038" s="154">
        <v>238.17679000000001</v>
      </c>
      <c r="H2038" s="24">
        <v>0</v>
      </c>
      <c r="I2038" s="131">
        <v>0</v>
      </c>
      <c r="J2038" s="24">
        <v>0</v>
      </c>
      <c r="K2038" s="153" t="s">
        <v>76</v>
      </c>
    </row>
    <row r="2039" spans="1:11" s="155" customFormat="1" ht="69.900000000000006" customHeight="1" x14ac:dyDescent="0.25">
      <c r="A2039" s="42" t="s">
        <v>2831</v>
      </c>
      <c r="B2039" s="199"/>
      <c r="C2039" s="153" t="s">
        <v>2713</v>
      </c>
      <c r="D2039" s="190" t="s">
        <v>2714</v>
      </c>
      <c r="E2039" s="42" t="s">
        <v>21</v>
      </c>
      <c r="F2039" s="154">
        <v>312.60000000000002</v>
      </c>
      <c r="G2039" s="154">
        <v>312.60000000000002</v>
      </c>
      <c r="H2039" s="24">
        <v>0</v>
      </c>
      <c r="I2039" s="131">
        <v>0</v>
      </c>
      <c r="J2039" s="24">
        <v>0</v>
      </c>
      <c r="K2039" s="153" t="s">
        <v>125</v>
      </c>
    </row>
    <row r="2040" spans="1:11" s="155" customFormat="1" ht="57.15" customHeight="1" x14ac:dyDescent="0.25">
      <c r="A2040" s="42" t="s">
        <v>2832</v>
      </c>
      <c r="B2040" s="199"/>
      <c r="C2040" s="153" t="s">
        <v>2715</v>
      </c>
      <c r="D2040" s="190" t="s">
        <v>2716</v>
      </c>
      <c r="E2040" s="42" t="s">
        <v>21</v>
      </c>
      <c r="F2040" s="154">
        <v>4927.1609399999998</v>
      </c>
      <c r="G2040" s="154">
        <v>4927.1609399999998</v>
      </c>
      <c r="H2040" s="24">
        <v>0</v>
      </c>
      <c r="I2040" s="131">
        <v>0</v>
      </c>
      <c r="J2040" s="24">
        <v>0</v>
      </c>
      <c r="K2040" s="153" t="s">
        <v>72</v>
      </c>
    </row>
    <row r="2041" spans="1:11" s="155" customFormat="1" ht="51.75" customHeight="1" x14ac:dyDescent="0.25">
      <c r="A2041" s="42" t="s">
        <v>2833</v>
      </c>
      <c r="B2041" s="199"/>
      <c r="C2041" s="153" t="s">
        <v>2717</v>
      </c>
      <c r="D2041" s="190" t="s">
        <v>2718</v>
      </c>
      <c r="E2041" s="42" t="s">
        <v>21</v>
      </c>
      <c r="F2041" s="154">
        <v>4075.8715299999999</v>
      </c>
      <c r="G2041" s="154">
        <v>4075.8715299999999</v>
      </c>
      <c r="H2041" s="24">
        <v>0</v>
      </c>
      <c r="I2041" s="131">
        <v>0</v>
      </c>
      <c r="J2041" s="24">
        <v>0</v>
      </c>
      <c r="K2041" s="153" t="s">
        <v>125</v>
      </c>
    </row>
    <row r="2042" spans="1:11" s="155" customFormat="1" ht="51" customHeight="1" x14ac:dyDescent="0.25">
      <c r="A2042" s="42" t="s">
        <v>2834</v>
      </c>
      <c r="B2042" s="199"/>
      <c r="C2042" s="153" t="s">
        <v>2719</v>
      </c>
      <c r="D2042" s="190" t="s">
        <v>2720</v>
      </c>
      <c r="E2042" s="42" t="s">
        <v>21</v>
      </c>
      <c r="F2042" s="154">
        <v>4903.3392000000003</v>
      </c>
      <c r="G2042" s="154">
        <v>4903.3392000000003</v>
      </c>
      <c r="H2042" s="24">
        <v>0</v>
      </c>
      <c r="I2042" s="131">
        <v>0</v>
      </c>
      <c r="J2042" s="24">
        <v>0</v>
      </c>
      <c r="K2042" s="153" t="s">
        <v>69</v>
      </c>
    </row>
    <row r="2043" spans="1:11" s="155" customFormat="1" ht="44.4" customHeight="1" x14ac:dyDescent="0.25">
      <c r="A2043" s="42" t="s">
        <v>2835</v>
      </c>
      <c r="B2043" s="199"/>
      <c r="C2043" s="153" t="s">
        <v>2721</v>
      </c>
      <c r="D2043" s="190" t="s">
        <v>2722</v>
      </c>
      <c r="E2043" s="42" t="s">
        <v>21</v>
      </c>
      <c r="F2043" s="154">
        <v>1212.732</v>
      </c>
      <c r="G2043" s="24">
        <v>0</v>
      </c>
      <c r="H2043" s="154">
        <v>1212.732</v>
      </c>
      <c r="I2043" s="131">
        <v>0</v>
      </c>
      <c r="J2043" s="24">
        <v>0</v>
      </c>
      <c r="K2043" s="153" t="s">
        <v>1179</v>
      </c>
    </row>
    <row r="2044" spans="1:11" s="155" customFormat="1" ht="44.4" customHeight="1" x14ac:dyDescent="0.25">
      <c r="A2044" s="42" t="s">
        <v>2836</v>
      </c>
      <c r="B2044" s="199"/>
      <c r="C2044" s="153" t="s">
        <v>2723</v>
      </c>
      <c r="D2044" s="190" t="s">
        <v>1370</v>
      </c>
      <c r="E2044" s="42" t="s">
        <v>21</v>
      </c>
      <c r="F2044" s="154">
        <v>767.95393999999999</v>
      </c>
      <c r="G2044" s="24">
        <v>0</v>
      </c>
      <c r="H2044" s="154">
        <v>702.39689999999996</v>
      </c>
      <c r="I2044" s="154">
        <v>65.557040000000001</v>
      </c>
      <c r="J2044" s="154">
        <v>0</v>
      </c>
      <c r="K2044" s="153" t="s">
        <v>1179</v>
      </c>
    </row>
    <row r="2045" spans="1:11" s="155" customFormat="1" ht="44.4" customHeight="1" x14ac:dyDescent="0.25">
      <c r="A2045" s="42" t="s">
        <v>2837</v>
      </c>
      <c r="B2045" s="199"/>
      <c r="C2045" s="153" t="s">
        <v>2724</v>
      </c>
      <c r="D2045" s="190" t="s">
        <v>2725</v>
      </c>
      <c r="E2045" s="42" t="s">
        <v>21</v>
      </c>
      <c r="F2045" s="154">
        <v>3280.0262400000001</v>
      </c>
      <c r="G2045" s="24">
        <v>0</v>
      </c>
      <c r="H2045" s="154">
        <v>3000.0239999999999</v>
      </c>
      <c r="I2045" s="154">
        <v>280.00223999999997</v>
      </c>
      <c r="J2045" s="154">
        <v>0</v>
      </c>
      <c r="K2045" s="153" t="s">
        <v>1179</v>
      </c>
    </row>
    <row r="2046" spans="1:11" s="155" customFormat="1" ht="61.8" customHeight="1" x14ac:dyDescent="0.25">
      <c r="A2046" s="42" t="s">
        <v>2838</v>
      </c>
      <c r="B2046" s="199"/>
      <c r="C2046" s="153" t="s">
        <v>2726</v>
      </c>
      <c r="D2046" s="190" t="s">
        <v>2727</v>
      </c>
      <c r="E2046" s="42" t="s">
        <v>21</v>
      </c>
      <c r="F2046" s="154">
        <v>4018.41</v>
      </c>
      <c r="G2046" s="24">
        <v>0</v>
      </c>
      <c r="H2046" s="154">
        <v>3675.375</v>
      </c>
      <c r="I2046" s="154">
        <v>343.03500000000003</v>
      </c>
      <c r="J2046" s="154">
        <v>0</v>
      </c>
      <c r="K2046" s="153" t="s">
        <v>1179</v>
      </c>
    </row>
    <row r="2047" spans="1:11" s="155" customFormat="1" ht="72.599999999999994" customHeight="1" x14ac:dyDescent="0.25">
      <c r="A2047" s="42" t="s">
        <v>2839</v>
      </c>
      <c r="B2047" s="199"/>
      <c r="C2047" s="153" t="s">
        <v>2728</v>
      </c>
      <c r="D2047" s="190" t="s">
        <v>2729</v>
      </c>
      <c r="E2047" s="42" t="s">
        <v>21</v>
      </c>
      <c r="F2047" s="154">
        <v>1642.74</v>
      </c>
      <c r="G2047" s="24">
        <v>0</v>
      </c>
      <c r="H2047" s="154">
        <v>1492.6559999999999</v>
      </c>
      <c r="I2047" s="154">
        <v>150.084</v>
      </c>
      <c r="J2047" s="154">
        <v>0</v>
      </c>
      <c r="K2047" s="153" t="s">
        <v>1179</v>
      </c>
    </row>
    <row r="2048" spans="1:11" s="155" customFormat="1" ht="18" customHeight="1" x14ac:dyDescent="0.25">
      <c r="A2048" s="220" t="s">
        <v>2730</v>
      </c>
      <c r="B2048" s="220"/>
      <c r="C2048" s="220"/>
      <c r="D2048" s="221"/>
      <c r="E2048" s="42"/>
      <c r="F2048" s="156">
        <f>SUM(F2005:F2047)</f>
        <v>83694.656290000028</v>
      </c>
      <c r="G2048" s="156">
        <f>SUM(G2005:G2047)</f>
        <v>72772.794110000003</v>
      </c>
      <c r="H2048" s="156">
        <f>SUM(H2005:H2047)</f>
        <v>10083.1839</v>
      </c>
      <c r="I2048" s="156">
        <f>SUM(I2005:I2047)</f>
        <v>838.67828000000009</v>
      </c>
      <c r="J2048" s="156">
        <f>SUM(J2005:J2047)</f>
        <v>0</v>
      </c>
      <c r="K2048" s="153"/>
    </row>
    <row r="2049" spans="1:11" s="155" customFormat="1" ht="56.4" customHeight="1" x14ac:dyDescent="0.25">
      <c r="A2049" s="42" t="s">
        <v>2840</v>
      </c>
      <c r="B2049" s="255" t="s">
        <v>2884</v>
      </c>
      <c r="C2049" s="153" t="s">
        <v>2731</v>
      </c>
      <c r="D2049" s="190" t="s">
        <v>2732</v>
      </c>
      <c r="E2049" s="42" t="s">
        <v>21</v>
      </c>
      <c r="F2049" s="154">
        <v>4345.4694300000001</v>
      </c>
      <c r="G2049" s="131">
        <v>0</v>
      </c>
      <c r="H2049" s="154">
        <v>4345.4694300000001</v>
      </c>
      <c r="I2049" s="131">
        <v>0</v>
      </c>
      <c r="J2049" s="24">
        <v>0</v>
      </c>
      <c r="K2049" s="153" t="s">
        <v>282</v>
      </c>
    </row>
    <row r="2050" spans="1:11" s="155" customFormat="1" ht="43.2" customHeight="1" x14ac:dyDescent="0.25">
      <c r="A2050" s="42" t="s">
        <v>2841</v>
      </c>
      <c r="B2050" s="199"/>
      <c r="C2050" s="153" t="s">
        <v>2733</v>
      </c>
      <c r="D2050" s="190" t="s">
        <v>2734</v>
      </c>
      <c r="E2050" s="42" t="s">
        <v>21</v>
      </c>
      <c r="F2050" s="154">
        <v>2758.4150500000001</v>
      </c>
      <c r="G2050" s="131">
        <v>0</v>
      </c>
      <c r="H2050" s="154">
        <v>2758.4150500000001</v>
      </c>
      <c r="I2050" s="131">
        <v>0</v>
      </c>
      <c r="J2050" s="24">
        <v>0</v>
      </c>
      <c r="K2050" s="153" t="s">
        <v>529</v>
      </c>
    </row>
    <row r="2051" spans="1:11" s="155" customFormat="1" ht="44.4" customHeight="1" x14ac:dyDescent="0.25">
      <c r="A2051" s="42" t="s">
        <v>2842</v>
      </c>
      <c r="B2051" s="199"/>
      <c r="C2051" s="153" t="s">
        <v>2735</v>
      </c>
      <c r="D2051" s="190" t="s">
        <v>2736</v>
      </c>
      <c r="E2051" s="42" t="s">
        <v>21</v>
      </c>
      <c r="F2051" s="154">
        <v>4794.5429000000004</v>
      </c>
      <c r="G2051" s="131">
        <v>0</v>
      </c>
      <c r="H2051" s="154">
        <v>4794.5429000000004</v>
      </c>
      <c r="I2051" s="131">
        <v>0</v>
      </c>
      <c r="J2051" s="24">
        <v>0</v>
      </c>
      <c r="K2051" s="153" t="s">
        <v>529</v>
      </c>
    </row>
    <row r="2052" spans="1:11" s="155" customFormat="1" ht="44.4" customHeight="1" x14ac:dyDescent="0.25">
      <c r="A2052" s="42" t="s">
        <v>2843</v>
      </c>
      <c r="B2052" s="199"/>
      <c r="C2052" s="153" t="s">
        <v>2737</v>
      </c>
      <c r="D2052" s="190" t="s">
        <v>2738</v>
      </c>
      <c r="E2052" s="42" t="s">
        <v>21</v>
      </c>
      <c r="F2052" s="154">
        <v>1452.1035400000001</v>
      </c>
      <c r="G2052" s="131">
        <v>0</v>
      </c>
      <c r="H2052" s="154">
        <v>1452.1035400000001</v>
      </c>
      <c r="I2052" s="131">
        <v>0</v>
      </c>
      <c r="J2052" s="24">
        <v>0</v>
      </c>
      <c r="K2052" s="153" t="s">
        <v>282</v>
      </c>
    </row>
    <row r="2053" spans="1:11" s="155" customFormat="1" ht="44.4" customHeight="1" x14ac:dyDescent="0.25">
      <c r="A2053" s="42" t="s">
        <v>2844</v>
      </c>
      <c r="B2053" s="199"/>
      <c r="C2053" s="153" t="s">
        <v>2739</v>
      </c>
      <c r="D2053" s="190" t="s">
        <v>2740</v>
      </c>
      <c r="E2053" s="42" t="s">
        <v>21</v>
      </c>
      <c r="F2053" s="154">
        <v>499.74761999999998</v>
      </c>
      <c r="G2053" s="131">
        <v>0</v>
      </c>
      <c r="H2053" s="154">
        <v>499.74761999999998</v>
      </c>
      <c r="I2053" s="131">
        <v>0</v>
      </c>
      <c r="J2053" s="24">
        <v>0</v>
      </c>
      <c r="K2053" s="153" t="s">
        <v>529</v>
      </c>
    </row>
    <row r="2054" spans="1:11" s="155" customFormat="1" ht="44.4" customHeight="1" x14ac:dyDescent="0.25">
      <c r="A2054" s="42" t="s">
        <v>2845</v>
      </c>
      <c r="B2054" s="199"/>
      <c r="C2054" s="153" t="s">
        <v>2741</v>
      </c>
      <c r="D2054" s="190" t="s">
        <v>2742</v>
      </c>
      <c r="E2054" s="42" t="s">
        <v>21</v>
      </c>
      <c r="F2054" s="154">
        <v>4467.6190500000002</v>
      </c>
      <c r="G2054" s="131">
        <v>0</v>
      </c>
      <c r="H2054" s="154">
        <v>4467.6190500000002</v>
      </c>
      <c r="I2054" s="131">
        <v>0</v>
      </c>
      <c r="J2054" s="24">
        <v>0</v>
      </c>
      <c r="K2054" s="153" t="s">
        <v>529</v>
      </c>
    </row>
    <row r="2055" spans="1:11" s="155" customFormat="1" ht="69.900000000000006" customHeight="1" x14ac:dyDescent="0.25">
      <c r="A2055" s="42" t="s">
        <v>2846</v>
      </c>
      <c r="B2055" s="199"/>
      <c r="C2055" s="153" t="s">
        <v>2743</v>
      </c>
      <c r="D2055" s="190" t="s">
        <v>2744</v>
      </c>
      <c r="E2055" s="42" t="s">
        <v>21</v>
      </c>
      <c r="F2055" s="154">
        <v>267.12394999999998</v>
      </c>
      <c r="G2055" s="131">
        <v>0</v>
      </c>
      <c r="H2055" s="154">
        <v>267.12394999999998</v>
      </c>
      <c r="I2055" s="131">
        <v>0</v>
      </c>
      <c r="J2055" s="24">
        <v>0</v>
      </c>
      <c r="K2055" s="153" t="s">
        <v>316</v>
      </c>
    </row>
    <row r="2056" spans="1:11" s="155" customFormat="1" ht="44.4" customHeight="1" x14ac:dyDescent="0.25">
      <c r="A2056" s="42" t="s">
        <v>2847</v>
      </c>
      <c r="B2056" s="199"/>
      <c r="C2056" s="153" t="s">
        <v>2745</v>
      </c>
      <c r="D2056" s="190" t="s">
        <v>2746</v>
      </c>
      <c r="E2056" s="42" t="s">
        <v>21</v>
      </c>
      <c r="F2056" s="154">
        <v>1739.2276899999999</v>
      </c>
      <c r="G2056" s="131">
        <v>0</v>
      </c>
      <c r="H2056" s="154">
        <v>1739.2276899999999</v>
      </c>
      <c r="I2056" s="131">
        <v>0</v>
      </c>
      <c r="J2056" s="24">
        <v>0</v>
      </c>
      <c r="K2056" s="153" t="s">
        <v>529</v>
      </c>
    </row>
    <row r="2057" spans="1:11" s="155" customFormat="1" ht="44.4" customHeight="1" x14ac:dyDescent="0.25">
      <c r="A2057" s="42" t="s">
        <v>2848</v>
      </c>
      <c r="B2057" s="199"/>
      <c r="C2057" s="153" t="s">
        <v>2747</v>
      </c>
      <c r="D2057" s="190" t="s">
        <v>2748</v>
      </c>
      <c r="E2057" s="42" t="s">
        <v>21</v>
      </c>
      <c r="F2057" s="154">
        <v>1910.94334</v>
      </c>
      <c r="G2057" s="131">
        <v>0</v>
      </c>
      <c r="H2057" s="154">
        <v>1910.94334</v>
      </c>
      <c r="I2057" s="131">
        <v>0</v>
      </c>
      <c r="J2057" s="24">
        <v>0</v>
      </c>
      <c r="K2057" s="153" t="s">
        <v>1219</v>
      </c>
    </row>
    <row r="2058" spans="1:11" s="155" customFormat="1" ht="44.4" customHeight="1" x14ac:dyDescent="0.25">
      <c r="A2058" s="42" t="s">
        <v>2849</v>
      </c>
      <c r="B2058" s="199"/>
      <c r="C2058" s="153" t="s">
        <v>2749</v>
      </c>
      <c r="D2058" s="190" t="s">
        <v>2750</v>
      </c>
      <c r="E2058" s="42" t="s">
        <v>21</v>
      </c>
      <c r="F2058" s="154">
        <v>1448.9619600000001</v>
      </c>
      <c r="G2058" s="131">
        <v>0</v>
      </c>
      <c r="H2058" s="154">
        <v>1448.9619600000001</v>
      </c>
      <c r="I2058" s="131">
        <v>0</v>
      </c>
      <c r="J2058" s="24">
        <v>0</v>
      </c>
      <c r="K2058" s="153" t="s">
        <v>1219</v>
      </c>
    </row>
    <row r="2059" spans="1:11" s="155" customFormat="1" ht="31.65" customHeight="1" x14ac:dyDescent="0.25">
      <c r="A2059" s="42" t="s">
        <v>2850</v>
      </c>
      <c r="B2059" s="199"/>
      <c r="C2059" s="153" t="s">
        <v>2751</v>
      </c>
      <c r="D2059" s="190" t="s">
        <v>2752</v>
      </c>
      <c r="E2059" s="42" t="s">
        <v>21</v>
      </c>
      <c r="F2059" s="154">
        <v>3045.2529599999998</v>
      </c>
      <c r="G2059" s="131">
        <v>0</v>
      </c>
      <c r="H2059" s="154">
        <v>3045.2529599999998</v>
      </c>
      <c r="I2059" s="131">
        <v>0</v>
      </c>
      <c r="J2059" s="24">
        <v>0</v>
      </c>
      <c r="K2059" s="153" t="s">
        <v>529</v>
      </c>
    </row>
    <row r="2060" spans="1:11" s="155" customFormat="1" ht="57.15" customHeight="1" x14ac:dyDescent="0.25">
      <c r="A2060" s="42" t="s">
        <v>2851</v>
      </c>
      <c r="B2060" s="199"/>
      <c r="C2060" s="153" t="s">
        <v>2753</v>
      </c>
      <c r="D2060" s="190" t="s">
        <v>2754</v>
      </c>
      <c r="E2060" s="42" t="s">
        <v>21</v>
      </c>
      <c r="F2060" s="154">
        <v>6527.2281400000002</v>
      </c>
      <c r="G2060" s="131">
        <v>0</v>
      </c>
      <c r="H2060" s="154">
        <v>6527.2281400000002</v>
      </c>
      <c r="I2060" s="131">
        <v>0</v>
      </c>
      <c r="J2060" s="24">
        <v>0</v>
      </c>
      <c r="K2060" s="153" t="s">
        <v>282</v>
      </c>
    </row>
    <row r="2061" spans="1:11" s="155" customFormat="1" ht="31.65" customHeight="1" x14ac:dyDescent="0.25">
      <c r="A2061" s="42" t="s">
        <v>2852</v>
      </c>
      <c r="B2061" s="199"/>
      <c r="C2061" s="153" t="s">
        <v>2755</v>
      </c>
      <c r="D2061" s="190" t="s">
        <v>2756</v>
      </c>
      <c r="E2061" s="42" t="s">
        <v>21</v>
      </c>
      <c r="F2061" s="154">
        <v>3348.1957000000002</v>
      </c>
      <c r="G2061" s="131">
        <v>0</v>
      </c>
      <c r="H2061" s="154">
        <v>3348.1957000000002</v>
      </c>
      <c r="I2061" s="131">
        <v>0</v>
      </c>
      <c r="J2061" s="24">
        <v>0</v>
      </c>
      <c r="K2061" s="153" t="s">
        <v>529</v>
      </c>
    </row>
    <row r="2062" spans="1:11" s="155" customFormat="1" ht="57.15" customHeight="1" x14ac:dyDescent="0.25">
      <c r="A2062" s="42" t="s">
        <v>2853</v>
      </c>
      <c r="B2062" s="199"/>
      <c r="C2062" s="153" t="s">
        <v>2757</v>
      </c>
      <c r="D2062" s="190" t="s">
        <v>2706</v>
      </c>
      <c r="E2062" s="42" t="s">
        <v>21</v>
      </c>
      <c r="F2062" s="154">
        <v>191.51868999999999</v>
      </c>
      <c r="G2062" s="131">
        <v>0</v>
      </c>
      <c r="H2062" s="154">
        <v>191.51868999999999</v>
      </c>
      <c r="I2062" s="131">
        <v>0</v>
      </c>
      <c r="J2062" s="24">
        <v>0</v>
      </c>
      <c r="K2062" s="153" t="s">
        <v>2758</v>
      </c>
    </row>
    <row r="2063" spans="1:11" s="155" customFormat="1" ht="57.6" customHeight="1" x14ac:dyDescent="0.25">
      <c r="A2063" s="42" t="s">
        <v>2854</v>
      </c>
      <c r="B2063" s="199"/>
      <c r="C2063" s="153" t="s">
        <v>2759</v>
      </c>
      <c r="D2063" s="190" t="s">
        <v>2760</v>
      </c>
      <c r="E2063" s="42" t="s">
        <v>21</v>
      </c>
      <c r="F2063" s="154">
        <v>2877.0209300000001</v>
      </c>
      <c r="G2063" s="131">
        <v>0</v>
      </c>
      <c r="H2063" s="154">
        <v>2877.0209300000001</v>
      </c>
      <c r="I2063" s="131">
        <v>0</v>
      </c>
      <c r="J2063" s="24">
        <v>0</v>
      </c>
      <c r="K2063" s="153" t="s">
        <v>282</v>
      </c>
    </row>
    <row r="2064" spans="1:11" s="155" customFormat="1" ht="74.400000000000006" customHeight="1" x14ac:dyDescent="0.25">
      <c r="A2064" s="42" t="s">
        <v>2855</v>
      </c>
      <c r="B2064" s="199"/>
      <c r="C2064" s="153" t="s">
        <v>2761</v>
      </c>
      <c r="D2064" s="190" t="s">
        <v>2762</v>
      </c>
      <c r="E2064" s="42" t="s">
        <v>21</v>
      </c>
      <c r="F2064" s="154">
        <v>5918.3981199999998</v>
      </c>
      <c r="G2064" s="131">
        <v>0</v>
      </c>
      <c r="H2064" s="154">
        <v>5918.3981199999998</v>
      </c>
      <c r="I2064" s="131">
        <v>0</v>
      </c>
      <c r="J2064" s="24">
        <v>0</v>
      </c>
      <c r="K2064" s="153" t="s">
        <v>529</v>
      </c>
    </row>
    <row r="2065" spans="1:11" s="155" customFormat="1" ht="44.4" customHeight="1" x14ac:dyDescent="0.25">
      <c r="A2065" s="42" t="s">
        <v>2856</v>
      </c>
      <c r="B2065" s="199"/>
      <c r="C2065" s="153" t="s">
        <v>2763</v>
      </c>
      <c r="D2065" s="190" t="s">
        <v>2764</v>
      </c>
      <c r="E2065" s="42" t="s">
        <v>21</v>
      </c>
      <c r="F2065" s="154">
        <v>1332.6479999999999</v>
      </c>
      <c r="G2065" s="131">
        <v>0</v>
      </c>
      <c r="H2065" s="131">
        <v>0</v>
      </c>
      <c r="I2065" s="154">
        <v>1332.6479999999999</v>
      </c>
      <c r="J2065" s="24">
        <v>0</v>
      </c>
      <c r="K2065" s="153" t="s">
        <v>1236</v>
      </c>
    </row>
    <row r="2066" spans="1:11" s="155" customFormat="1" ht="44.4" customHeight="1" x14ac:dyDescent="0.25">
      <c r="A2066" s="42" t="s">
        <v>2857</v>
      </c>
      <c r="B2066" s="199"/>
      <c r="C2066" s="153" t="s">
        <v>2765</v>
      </c>
      <c r="D2066" s="190" t="s">
        <v>1459</v>
      </c>
      <c r="E2066" s="42" t="s">
        <v>21</v>
      </c>
      <c r="F2066" s="154">
        <v>702.39689999999996</v>
      </c>
      <c r="G2066" s="131">
        <v>0</v>
      </c>
      <c r="H2066" s="131">
        <v>0</v>
      </c>
      <c r="I2066" s="69">
        <v>702.39689999999996</v>
      </c>
      <c r="J2066" s="24">
        <v>0</v>
      </c>
      <c r="K2066" s="153" t="s">
        <v>1236</v>
      </c>
    </row>
    <row r="2067" spans="1:11" s="155" customFormat="1" ht="44.4" customHeight="1" x14ac:dyDescent="0.25">
      <c r="A2067" s="42" t="s">
        <v>2858</v>
      </c>
      <c r="B2067" s="199"/>
      <c r="C2067" s="153" t="s">
        <v>2766</v>
      </c>
      <c r="D2067" s="190" t="s">
        <v>2767</v>
      </c>
      <c r="E2067" s="42" t="s">
        <v>21</v>
      </c>
      <c r="F2067" s="154">
        <v>3000.0239999999999</v>
      </c>
      <c r="G2067" s="131">
        <v>0</v>
      </c>
      <c r="H2067" s="131">
        <v>0</v>
      </c>
      <c r="I2067" s="154">
        <v>3000.0239999999999</v>
      </c>
      <c r="J2067" s="24">
        <v>0</v>
      </c>
      <c r="K2067" s="153" t="s">
        <v>1236</v>
      </c>
    </row>
    <row r="2068" spans="1:11" s="155" customFormat="1" ht="59.4" customHeight="1" x14ac:dyDescent="0.25">
      <c r="A2068" s="42" t="s">
        <v>2859</v>
      </c>
      <c r="B2068" s="199"/>
      <c r="C2068" s="153" t="s">
        <v>2768</v>
      </c>
      <c r="D2068" s="190" t="s">
        <v>2769</v>
      </c>
      <c r="E2068" s="42" t="s">
        <v>21</v>
      </c>
      <c r="F2068" s="154">
        <v>3675.375</v>
      </c>
      <c r="G2068" s="131">
        <v>0</v>
      </c>
      <c r="H2068" s="131">
        <v>0</v>
      </c>
      <c r="I2068" s="154">
        <v>3675.375</v>
      </c>
      <c r="J2068" s="24">
        <v>0</v>
      </c>
      <c r="K2068" s="153" t="s">
        <v>1236</v>
      </c>
    </row>
    <row r="2069" spans="1:11" s="155" customFormat="1" ht="65.400000000000006" customHeight="1" x14ac:dyDescent="0.25">
      <c r="A2069" s="42" t="s">
        <v>2860</v>
      </c>
      <c r="B2069" s="199"/>
      <c r="C2069" s="153" t="s">
        <v>2770</v>
      </c>
      <c r="D2069" s="190" t="s">
        <v>2771</v>
      </c>
      <c r="E2069" s="42" t="s">
        <v>21</v>
      </c>
      <c r="F2069" s="154">
        <v>1492.6559999999999</v>
      </c>
      <c r="G2069" s="131">
        <v>0</v>
      </c>
      <c r="H2069" s="131">
        <v>0</v>
      </c>
      <c r="I2069" s="154">
        <v>1492.6559999999999</v>
      </c>
      <c r="J2069" s="24">
        <v>0</v>
      </c>
      <c r="K2069" s="153" t="s">
        <v>1236</v>
      </c>
    </row>
    <row r="2070" spans="1:11" s="155" customFormat="1" ht="19.2" customHeight="1" x14ac:dyDescent="0.25">
      <c r="A2070" s="220" t="s">
        <v>2772</v>
      </c>
      <c r="B2070" s="220"/>
      <c r="C2070" s="220"/>
      <c r="D2070" s="246"/>
      <c r="E2070" s="246"/>
      <c r="F2070" s="156">
        <f>SUM(F2049:F2069)</f>
        <v>55794.868969999996</v>
      </c>
      <c r="G2070" s="131">
        <v>0</v>
      </c>
      <c r="H2070" s="156">
        <f>SUM(H2049:H2069)</f>
        <v>45591.769069999995</v>
      </c>
      <c r="I2070" s="156">
        <f>SUM(I2049:I2069)</f>
        <v>10203.099900000001</v>
      </c>
      <c r="J2070" s="24">
        <v>0</v>
      </c>
      <c r="K2070" s="153"/>
    </row>
    <row r="2071" spans="1:11" s="155" customFormat="1" ht="52.8" customHeight="1" x14ac:dyDescent="0.25">
      <c r="A2071" s="42" t="s">
        <v>2861</v>
      </c>
      <c r="B2071" s="254" t="s">
        <v>2884</v>
      </c>
      <c r="C2071" s="153" t="s">
        <v>2773</v>
      </c>
      <c r="D2071" s="190" t="s">
        <v>2774</v>
      </c>
      <c r="E2071" s="42" t="s">
        <v>21</v>
      </c>
      <c r="F2071" s="154">
        <v>3836.1515300000001</v>
      </c>
      <c r="G2071" s="131">
        <v>0</v>
      </c>
      <c r="H2071" s="131">
        <v>0</v>
      </c>
      <c r="I2071" s="131">
        <v>0</v>
      </c>
      <c r="J2071" s="24">
        <v>0</v>
      </c>
      <c r="K2071" s="153" t="s">
        <v>614</v>
      </c>
    </row>
    <row r="2072" spans="1:11" s="155" customFormat="1" ht="43.2" customHeight="1" x14ac:dyDescent="0.25">
      <c r="A2072" s="42" t="s">
        <v>2862</v>
      </c>
      <c r="B2072" s="253"/>
      <c r="C2072" s="153" t="s">
        <v>2775</v>
      </c>
      <c r="D2072" s="190" t="s">
        <v>2776</v>
      </c>
      <c r="E2072" s="42" t="s">
        <v>21</v>
      </c>
      <c r="F2072" s="154">
        <v>11636.27773</v>
      </c>
      <c r="G2072" s="131">
        <v>0</v>
      </c>
      <c r="H2072" s="131">
        <v>0</v>
      </c>
      <c r="I2072" s="131">
        <v>0</v>
      </c>
      <c r="J2072" s="24">
        <v>0</v>
      </c>
      <c r="K2072" s="153" t="s">
        <v>614</v>
      </c>
    </row>
    <row r="2073" spans="1:11" s="155" customFormat="1" ht="69" customHeight="1" x14ac:dyDescent="0.25">
      <c r="A2073" s="42" t="s">
        <v>2863</v>
      </c>
      <c r="B2073" s="253"/>
      <c r="C2073" s="153" t="s">
        <v>2777</v>
      </c>
      <c r="D2073" s="190" t="s">
        <v>2778</v>
      </c>
      <c r="E2073" s="42" t="s">
        <v>21</v>
      </c>
      <c r="F2073" s="154">
        <v>1930.47839</v>
      </c>
      <c r="G2073" s="131">
        <v>0</v>
      </c>
      <c r="H2073" s="131">
        <v>0</v>
      </c>
      <c r="I2073" s="131">
        <v>0</v>
      </c>
      <c r="J2073" s="24">
        <v>0</v>
      </c>
      <c r="K2073" s="153" t="s">
        <v>318</v>
      </c>
    </row>
    <row r="2074" spans="1:11" s="155" customFormat="1" ht="81.599999999999994" customHeight="1" x14ac:dyDescent="0.25">
      <c r="A2074" s="42" t="s">
        <v>2864</v>
      </c>
      <c r="B2074" s="253"/>
      <c r="C2074" s="153" t="s">
        <v>2779</v>
      </c>
      <c r="D2074" s="190" t="s">
        <v>2780</v>
      </c>
      <c r="E2074" s="42" t="s">
        <v>21</v>
      </c>
      <c r="F2074" s="154">
        <v>1289.7797700000001</v>
      </c>
      <c r="G2074" s="131">
        <v>0</v>
      </c>
      <c r="H2074" s="131">
        <v>0</v>
      </c>
      <c r="I2074" s="131">
        <v>0</v>
      </c>
      <c r="J2074" s="24">
        <v>0</v>
      </c>
      <c r="K2074" s="153" t="s">
        <v>318</v>
      </c>
    </row>
    <row r="2075" spans="1:11" s="155" customFormat="1" ht="63.6" customHeight="1" x14ac:dyDescent="0.25">
      <c r="A2075" s="42" t="s">
        <v>2865</v>
      </c>
      <c r="B2075" s="253"/>
      <c r="C2075" s="153" t="s">
        <v>2781</v>
      </c>
      <c r="D2075" s="190" t="s">
        <v>2782</v>
      </c>
      <c r="E2075" s="42" t="s">
        <v>21</v>
      </c>
      <c r="F2075" s="154">
        <v>1723.4913300000001</v>
      </c>
      <c r="G2075" s="131">
        <v>0</v>
      </c>
      <c r="H2075" s="131">
        <v>0</v>
      </c>
      <c r="I2075" s="154">
        <v>1723.4913300000001</v>
      </c>
      <c r="J2075" s="24">
        <v>0</v>
      </c>
      <c r="K2075" s="153" t="s">
        <v>614</v>
      </c>
    </row>
    <row r="2076" spans="1:11" s="155" customFormat="1" ht="67.8" customHeight="1" x14ac:dyDescent="0.25">
      <c r="A2076" s="42" t="s">
        <v>2866</v>
      </c>
      <c r="B2076" s="253"/>
      <c r="C2076" s="153" t="s">
        <v>2783</v>
      </c>
      <c r="D2076" s="190" t="s">
        <v>2784</v>
      </c>
      <c r="E2076" s="42" t="s">
        <v>21</v>
      </c>
      <c r="F2076" s="154">
        <v>1305.5556999999999</v>
      </c>
      <c r="G2076" s="131">
        <v>0</v>
      </c>
      <c r="H2076" s="131">
        <v>0</v>
      </c>
      <c r="I2076" s="154">
        <v>1305.5556999999999</v>
      </c>
      <c r="J2076" s="24">
        <v>0</v>
      </c>
      <c r="K2076" s="153" t="s">
        <v>614</v>
      </c>
    </row>
    <row r="2077" spans="1:11" s="155" customFormat="1" ht="68.400000000000006" customHeight="1" x14ac:dyDescent="0.25">
      <c r="A2077" s="42" t="s">
        <v>2867</v>
      </c>
      <c r="B2077" s="253"/>
      <c r="C2077" s="153" t="s">
        <v>2785</v>
      </c>
      <c r="D2077" s="190" t="s">
        <v>2704</v>
      </c>
      <c r="E2077" s="42" t="s">
        <v>21</v>
      </c>
      <c r="F2077" s="154">
        <v>2205.70073</v>
      </c>
      <c r="G2077" s="131">
        <v>0</v>
      </c>
      <c r="H2077" s="131">
        <v>0</v>
      </c>
      <c r="I2077" s="154">
        <v>2205.70073</v>
      </c>
      <c r="J2077" s="24">
        <v>0</v>
      </c>
      <c r="K2077" s="153" t="s">
        <v>1262</v>
      </c>
    </row>
    <row r="2078" spans="1:11" s="155" customFormat="1" ht="53.25" customHeight="1" x14ac:dyDescent="0.25">
      <c r="A2078" s="42" t="s">
        <v>2868</v>
      </c>
      <c r="B2078" s="253"/>
      <c r="C2078" s="153" t="s">
        <v>2786</v>
      </c>
      <c r="D2078" s="190" t="s">
        <v>2704</v>
      </c>
      <c r="E2078" s="42" t="s">
        <v>21</v>
      </c>
      <c r="F2078" s="154">
        <v>13673.452929999999</v>
      </c>
      <c r="G2078" s="131">
        <v>0</v>
      </c>
      <c r="H2078" s="131">
        <v>0</v>
      </c>
      <c r="I2078" s="154">
        <v>13673.452929999999</v>
      </c>
      <c r="J2078" s="24">
        <v>0</v>
      </c>
      <c r="K2078" s="153" t="s">
        <v>1262</v>
      </c>
    </row>
    <row r="2079" spans="1:11" s="155" customFormat="1" ht="44.4" customHeight="1" x14ac:dyDescent="0.25">
      <c r="A2079" s="42" t="s">
        <v>2989</v>
      </c>
      <c r="B2079" s="253"/>
      <c r="C2079" s="153" t="s">
        <v>2787</v>
      </c>
      <c r="D2079" s="190" t="s">
        <v>2788</v>
      </c>
      <c r="E2079" s="42" t="s">
        <v>21</v>
      </c>
      <c r="F2079" s="154">
        <v>5183.93</v>
      </c>
      <c r="G2079" s="131">
        <v>0</v>
      </c>
      <c r="H2079" s="131">
        <v>0</v>
      </c>
      <c r="I2079" s="154">
        <v>5183.93</v>
      </c>
      <c r="J2079" s="24">
        <v>0</v>
      </c>
      <c r="K2079" s="153" t="s">
        <v>614</v>
      </c>
    </row>
    <row r="2080" spans="1:11" s="155" customFormat="1" ht="31.65" customHeight="1" x14ac:dyDescent="0.25">
      <c r="A2080" s="42" t="s">
        <v>2990</v>
      </c>
      <c r="B2080" s="253"/>
      <c r="C2080" s="153" t="s">
        <v>2789</v>
      </c>
      <c r="D2080" s="190" t="s">
        <v>2756</v>
      </c>
      <c r="E2080" s="42" t="s">
        <v>21</v>
      </c>
      <c r="F2080" s="154">
        <v>1813.7003299999999</v>
      </c>
      <c r="G2080" s="131">
        <v>0</v>
      </c>
      <c r="H2080" s="131">
        <v>0</v>
      </c>
      <c r="I2080" s="154">
        <v>1813.7003299999999</v>
      </c>
      <c r="J2080" s="24">
        <v>0</v>
      </c>
      <c r="K2080" s="153" t="s">
        <v>614</v>
      </c>
    </row>
    <row r="2081" spans="1:11" s="155" customFormat="1" ht="44.4" customHeight="1" x14ac:dyDescent="0.25">
      <c r="A2081" s="42" t="s">
        <v>2991</v>
      </c>
      <c r="B2081" s="253"/>
      <c r="C2081" s="153" t="s">
        <v>2790</v>
      </c>
      <c r="D2081" s="190" t="s">
        <v>2791</v>
      </c>
      <c r="E2081" s="42" t="s">
        <v>21</v>
      </c>
      <c r="F2081" s="154">
        <v>4187.6944899999999</v>
      </c>
      <c r="G2081" s="131">
        <v>0</v>
      </c>
      <c r="H2081" s="131">
        <v>0</v>
      </c>
      <c r="I2081" s="154">
        <v>4187.6944899999999</v>
      </c>
      <c r="J2081" s="24">
        <v>0</v>
      </c>
      <c r="K2081" s="153" t="s">
        <v>1262</v>
      </c>
    </row>
    <row r="2082" spans="1:11" s="155" customFormat="1" ht="44.4" customHeight="1" x14ac:dyDescent="0.25">
      <c r="A2082" s="42" t="s">
        <v>2992</v>
      </c>
      <c r="B2082" s="253"/>
      <c r="C2082" s="153" t="s">
        <v>2792</v>
      </c>
      <c r="D2082" s="190" t="s">
        <v>2708</v>
      </c>
      <c r="E2082" s="42" t="s">
        <v>21</v>
      </c>
      <c r="F2082" s="154">
        <v>3790.5556299999998</v>
      </c>
      <c r="G2082" s="131">
        <v>0</v>
      </c>
      <c r="H2082" s="131">
        <v>0</v>
      </c>
      <c r="I2082" s="154">
        <v>3790.5556299999998</v>
      </c>
      <c r="J2082" s="24">
        <v>0</v>
      </c>
      <c r="K2082" s="153" t="s">
        <v>2793</v>
      </c>
    </row>
    <row r="2083" spans="1:11" s="155" customFormat="1" ht="44.4" customHeight="1" x14ac:dyDescent="0.25">
      <c r="A2083" s="42" t="s">
        <v>2993</v>
      </c>
      <c r="B2083" s="253"/>
      <c r="C2083" s="153" t="s">
        <v>2794</v>
      </c>
      <c r="D2083" s="190" t="s">
        <v>2710</v>
      </c>
      <c r="E2083" s="42" t="s">
        <v>21</v>
      </c>
      <c r="F2083" s="154">
        <v>1397.03757</v>
      </c>
      <c r="G2083" s="131">
        <v>0</v>
      </c>
      <c r="H2083" s="131">
        <v>0</v>
      </c>
      <c r="I2083" s="154">
        <v>1397.03757</v>
      </c>
      <c r="J2083" s="24">
        <v>0</v>
      </c>
      <c r="K2083" s="153" t="s">
        <v>1262</v>
      </c>
    </row>
    <row r="2084" spans="1:11" s="155" customFormat="1" ht="44.4" customHeight="1" x14ac:dyDescent="0.25">
      <c r="A2084" s="42" t="s">
        <v>2994</v>
      </c>
      <c r="B2084" s="253"/>
      <c r="C2084" s="153" t="s">
        <v>2795</v>
      </c>
      <c r="D2084" s="190" t="s">
        <v>2712</v>
      </c>
      <c r="E2084" s="42" t="s">
        <v>21</v>
      </c>
      <c r="F2084" s="154">
        <v>579.83185000000003</v>
      </c>
      <c r="G2084" s="131">
        <v>0</v>
      </c>
      <c r="H2084" s="131">
        <v>0</v>
      </c>
      <c r="I2084" s="154">
        <v>579.83185000000003</v>
      </c>
      <c r="J2084" s="24">
        <v>0</v>
      </c>
      <c r="K2084" s="153" t="s">
        <v>1262</v>
      </c>
    </row>
    <row r="2085" spans="1:11" s="158" customFormat="1" ht="16.2" customHeight="1" x14ac:dyDescent="0.3">
      <c r="A2085" s="220" t="s">
        <v>2796</v>
      </c>
      <c r="B2085" s="220"/>
      <c r="C2085" s="220"/>
      <c r="D2085" s="228"/>
      <c r="E2085" s="157"/>
      <c r="F2085" s="156">
        <f>SUM(F2071:F2084)</f>
        <v>54553.637980000007</v>
      </c>
      <c r="G2085" s="131">
        <v>0</v>
      </c>
      <c r="H2085" s="131">
        <v>0</v>
      </c>
      <c r="I2085" s="156">
        <f>SUM(I2071:I2084)</f>
        <v>35860.950560000005</v>
      </c>
      <c r="J2085" s="24">
        <v>0</v>
      </c>
      <c r="K2085" s="153"/>
    </row>
    <row r="2086" spans="1:11" s="85" customFormat="1" ht="102" customHeight="1" x14ac:dyDescent="0.3">
      <c r="A2086" s="136">
        <v>1760</v>
      </c>
      <c r="B2086" s="197" t="s">
        <v>2988</v>
      </c>
      <c r="C2086" s="25" t="s">
        <v>2885</v>
      </c>
      <c r="D2086" s="16" t="s">
        <v>2886</v>
      </c>
      <c r="E2086" s="16" t="s">
        <v>1945</v>
      </c>
      <c r="F2086" s="23">
        <f>37500.03/1000</f>
        <v>37.500029999999995</v>
      </c>
      <c r="G2086" s="23">
        <f>F2086</f>
        <v>37.500029999999995</v>
      </c>
      <c r="H2086" s="131">
        <v>0</v>
      </c>
      <c r="I2086" s="131">
        <v>0</v>
      </c>
      <c r="J2086" s="24">
        <v>0</v>
      </c>
      <c r="K2086" s="25" t="s">
        <v>1140</v>
      </c>
    </row>
    <row r="2087" spans="1:11" s="85" customFormat="1" ht="87" customHeight="1" x14ac:dyDescent="0.3">
      <c r="A2087" s="249">
        <v>1761</v>
      </c>
      <c r="B2087" s="197"/>
      <c r="C2087" s="25" t="s">
        <v>2887</v>
      </c>
      <c r="D2087" s="16" t="s">
        <v>2888</v>
      </c>
      <c r="E2087" s="16" t="s">
        <v>1945</v>
      </c>
      <c r="F2087" s="23">
        <f>54000/1000</f>
        <v>54</v>
      </c>
      <c r="G2087" s="23">
        <f>F2087</f>
        <v>54</v>
      </c>
      <c r="H2087" s="131">
        <v>0</v>
      </c>
      <c r="I2087" s="131">
        <v>0</v>
      </c>
      <c r="J2087" s="24">
        <v>0</v>
      </c>
      <c r="K2087" s="25" t="s">
        <v>1140</v>
      </c>
    </row>
    <row r="2088" spans="1:11" s="85" customFormat="1" ht="75.599999999999994" customHeight="1" x14ac:dyDescent="0.3">
      <c r="A2088" s="253"/>
      <c r="B2088" s="197"/>
      <c r="C2088" s="25" t="s">
        <v>2889</v>
      </c>
      <c r="D2088" s="16" t="s">
        <v>2890</v>
      </c>
      <c r="E2088" s="16" t="s">
        <v>1945</v>
      </c>
      <c r="F2088" s="23">
        <f>83283.27/1000</f>
        <v>83.283270000000002</v>
      </c>
      <c r="G2088" s="23">
        <f>63295.27/1000</f>
        <v>63.295269999999995</v>
      </c>
      <c r="H2088" s="131">
        <v>0</v>
      </c>
      <c r="I2088" s="131">
        <v>0</v>
      </c>
      <c r="J2088" s="24">
        <v>0</v>
      </c>
      <c r="K2088" s="25" t="s">
        <v>2346</v>
      </c>
    </row>
    <row r="2089" spans="1:11" s="85" customFormat="1" ht="75" customHeight="1" x14ac:dyDescent="0.3">
      <c r="A2089" s="136">
        <v>1762</v>
      </c>
      <c r="B2089" s="197"/>
      <c r="C2089" s="25" t="s">
        <v>2891</v>
      </c>
      <c r="D2089" s="16" t="s">
        <v>2892</v>
      </c>
      <c r="E2089" s="16" t="s">
        <v>1945</v>
      </c>
      <c r="F2089" s="23">
        <f>90000/1000</f>
        <v>90</v>
      </c>
      <c r="G2089" s="23">
        <f>F2089</f>
        <v>90</v>
      </c>
      <c r="H2089" s="131">
        <v>0</v>
      </c>
      <c r="I2089" s="131">
        <v>0</v>
      </c>
      <c r="J2089" s="24">
        <v>0</v>
      </c>
      <c r="K2089" s="25" t="s">
        <v>1142</v>
      </c>
    </row>
    <row r="2090" spans="1:11" s="85" customFormat="1" ht="36" customHeight="1" x14ac:dyDescent="0.3">
      <c r="A2090" s="249">
        <v>1763</v>
      </c>
      <c r="B2090" s="197"/>
      <c r="C2090" s="25" t="s">
        <v>2893</v>
      </c>
      <c r="D2090" s="16" t="s">
        <v>91</v>
      </c>
      <c r="E2090" s="16" t="s">
        <v>1945</v>
      </c>
      <c r="F2090" s="23">
        <f>145301.05/1000</f>
        <v>145.30104999999998</v>
      </c>
      <c r="G2090" s="23">
        <f>F2090</f>
        <v>145.30104999999998</v>
      </c>
      <c r="H2090" s="131">
        <v>0</v>
      </c>
      <c r="I2090" s="131">
        <v>0</v>
      </c>
      <c r="J2090" s="24">
        <v>0</v>
      </c>
      <c r="K2090" s="25" t="s">
        <v>1141</v>
      </c>
    </row>
    <row r="2091" spans="1:11" s="85" customFormat="1" ht="69.599999999999994" customHeight="1" x14ac:dyDescent="0.3">
      <c r="A2091" s="253"/>
      <c r="B2091" s="197"/>
      <c r="C2091" s="25" t="s">
        <v>2894</v>
      </c>
      <c r="D2091" s="275" t="s">
        <v>2895</v>
      </c>
      <c r="E2091" s="16" t="s">
        <v>1945</v>
      </c>
      <c r="F2091" s="23">
        <f>157000/1000</f>
        <v>157</v>
      </c>
      <c r="G2091" s="23">
        <f>57305/1000</f>
        <v>57.305</v>
      </c>
      <c r="H2091" s="131">
        <v>0</v>
      </c>
      <c r="I2091" s="131">
        <v>0</v>
      </c>
      <c r="J2091" s="24">
        <v>0</v>
      </c>
      <c r="K2091" s="25" t="s">
        <v>2346</v>
      </c>
    </row>
    <row r="2092" spans="1:11" s="85" customFormat="1" ht="73.8" customHeight="1" x14ac:dyDescent="0.3">
      <c r="A2092" s="136">
        <v>1764</v>
      </c>
      <c r="B2092" s="197"/>
      <c r="C2092" s="25" t="s">
        <v>2896</v>
      </c>
      <c r="D2092" s="275" t="s">
        <v>2897</v>
      </c>
      <c r="E2092" s="16" t="s">
        <v>1945</v>
      </c>
      <c r="F2092" s="23">
        <f>424761.58/1000</f>
        <v>424.76158000000004</v>
      </c>
      <c r="G2092" s="23">
        <f t="shared" ref="G2092:G2097" si="121">F2092</f>
        <v>424.76158000000004</v>
      </c>
      <c r="H2092" s="131">
        <v>0</v>
      </c>
      <c r="I2092" s="131">
        <v>0</v>
      </c>
      <c r="J2092" s="24">
        <v>0</v>
      </c>
      <c r="K2092" s="25" t="s">
        <v>1141</v>
      </c>
    </row>
    <row r="2093" spans="1:11" s="85" customFormat="1" ht="61.8" customHeight="1" x14ac:dyDescent="0.3">
      <c r="A2093" s="249">
        <v>1765</v>
      </c>
      <c r="B2093" s="197"/>
      <c r="C2093" s="25" t="s">
        <v>2898</v>
      </c>
      <c r="D2093" s="275" t="s">
        <v>2899</v>
      </c>
      <c r="E2093" s="16" t="s">
        <v>1945</v>
      </c>
      <c r="F2093" s="23">
        <f>460000/1000</f>
        <v>460</v>
      </c>
      <c r="G2093" s="23">
        <f t="shared" si="121"/>
        <v>460</v>
      </c>
      <c r="H2093" s="131">
        <v>0</v>
      </c>
      <c r="I2093" s="131">
        <v>0</v>
      </c>
      <c r="J2093" s="24">
        <v>0</v>
      </c>
      <c r="K2093" s="25" t="s">
        <v>1142</v>
      </c>
    </row>
    <row r="2094" spans="1:11" s="85" customFormat="1" ht="47.25" customHeight="1" x14ac:dyDescent="0.3">
      <c r="A2094" s="253"/>
      <c r="B2094" s="197"/>
      <c r="C2094" s="25" t="s">
        <v>2900</v>
      </c>
      <c r="D2094" s="275" t="s">
        <v>2901</v>
      </c>
      <c r="E2094" s="16" t="s">
        <v>1945</v>
      </c>
      <c r="F2094" s="23">
        <f>579954.94/1000</f>
        <v>579.95493999999997</v>
      </c>
      <c r="G2094" s="23">
        <f t="shared" si="121"/>
        <v>579.95493999999997</v>
      </c>
      <c r="H2094" s="131">
        <v>0</v>
      </c>
      <c r="I2094" s="131">
        <v>0</v>
      </c>
      <c r="J2094" s="24">
        <v>0</v>
      </c>
      <c r="K2094" s="25" t="s">
        <v>1141</v>
      </c>
    </row>
    <row r="2095" spans="1:11" s="85" customFormat="1" ht="51.75" customHeight="1" x14ac:dyDescent="0.3">
      <c r="A2095" s="136">
        <v>1766</v>
      </c>
      <c r="B2095" s="197"/>
      <c r="C2095" s="25" t="s">
        <v>2902</v>
      </c>
      <c r="D2095" s="275" t="s">
        <v>2903</v>
      </c>
      <c r="E2095" s="16" t="s">
        <v>1945</v>
      </c>
      <c r="F2095" s="23">
        <f>713589.6/1000</f>
        <v>713.58960000000002</v>
      </c>
      <c r="G2095" s="23">
        <f t="shared" si="121"/>
        <v>713.58960000000002</v>
      </c>
      <c r="H2095" s="131">
        <v>0</v>
      </c>
      <c r="I2095" s="131">
        <v>0</v>
      </c>
      <c r="J2095" s="24">
        <v>0</v>
      </c>
      <c r="K2095" s="25" t="s">
        <v>1144</v>
      </c>
    </row>
    <row r="2096" spans="1:11" s="85" customFormat="1" ht="95.4" customHeight="1" x14ac:dyDescent="0.3">
      <c r="A2096" s="249">
        <v>1767</v>
      </c>
      <c r="B2096" s="197"/>
      <c r="C2096" s="25" t="s">
        <v>2904</v>
      </c>
      <c r="D2096" s="275" t="s">
        <v>2905</v>
      </c>
      <c r="E2096" s="16" t="s">
        <v>1945</v>
      </c>
      <c r="F2096" s="23">
        <f>842932.92/1000</f>
        <v>842.93292000000008</v>
      </c>
      <c r="G2096" s="23">
        <f t="shared" si="121"/>
        <v>842.93292000000008</v>
      </c>
      <c r="H2096" s="131">
        <v>0</v>
      </c>
      <c r="I2096" s="131">
        <v>0</v>
      </c>
      <c r="J2096" s="24">
        <v>0</v>
      </c>
      <c r="K2096" s="25" t="s">
        <v>1140</v>
      </c>
    </row>
    <row r="2097" spans="1:11" s="85" customFormat="1" ht="82.8" customHeight="1" x14ac:dyDescent="0.3">
      <c r="A2097" s="253"/>
      <c r="B2097" s="197"/>
      <c r="C2097" s="25" t="s">
        <v>2906</v>
      </c>
      <c r="D2097" s="275" t="s">
        <v>2907</v>
      </c>
      <c r="E2097" s="16" t="s">
        <v>1945</v>
      </c>
      <c r="F2097" s="23">
        <f>982779.81/1000</f>
        <v>982.77981000000011</v>
      </c>
      <c r="G2097" s="23">
        <f t="shared" si="121"/>
        <v>982.77981000000011</v>
      </c>
      <c r="H2097" s="131">
        <v>0</v>
      </c>
      <c r="I2097" s="131">
        <v>0</v>
      </c>
      <c r="J2097" s="24">
        <v>0</v>
      </c>
      <c r="K2097" s="25" t="s">
        <v>1141</v>
      </c>
    </row>
    <row r="2098" spans="1:11" s="85" customFormat="1" ht="76.5" customHeight="1" x14ac:dyDescent="0.3">
      <c r="A2098" s="136">
        <v>1768</v>
      </c>
      <c r="B2098" s="197"/>
      <c r="C2098" s="25" t="s">
        <v>2908</v>
      </c>
      <c r="D2098" s="275" t="s">
        <v>2909</v>
      </c>
      <c r="E2098" s="16" t="s">
        <v>1945</v>
      </c>
      <c r="F2098" s="23">
        <f>958059.05/1000</f>
        <v>958.05905000000007</v>
      </c>
      <c r="G2098" s="23">
        <f>995308.66/1000</f>
        <v>995.30866000000003</v>
      </c>
      <c r="H2098" s="131">
        <v>0</v>
      </c>
      <c r="I2098" s="131">
        <v>0</v>
      </c>
      <c r="J2098" s="24">
        <v>0</v>
      </c>
      <c r="K2098" s="25" t="s">
        <v>1140</v>
      </c>
    </row>
    <row r="2099" spans="1:11" s="85" customFormat="1" ht="64.8" customHeight="1" x14ac:dyDescent="0.3">
      <c r="A2099" s="249">
        <v>1769</v>
      </c>
      <c r="B2099" s="197"/>
      <c r="C2099" s="25" t="s">
        <v>2910</v>
      </c>
      <c r="D2099" s="275" t="s">
        <v>2911</v>
      </c>
      <c r="E2099" s="16" t="s">
        <v>1945</v>
      </c>
      <c r="F2099" s="23">
        <f>1324721.41/1000</f>
        <v>1324.7214099999999</v>
      </c>
      <c r="G2099" s="23">
        <f>350000/1000</f>
        <v>350</v>
      </c>
      <c r="H2099" s="131">
        <v>0</v>
      </c>
      <c r="I2099" s="131">
        <v>0</v>
      </c>
      <c r="J2099" s="24">
        <v>0</v>
      </c>
      <c r="K2099" s="25" t="s">
        <v>2346</v>
      </c>
    </row>
    <row r="2100" spans="1:11" s="85" customFormat="1" ht="72.75" customHeight="1" x14ac:dyDescent="0.3">
      <c r="A2100" s="253"/>
      <c r="B2100" s="197"/>
      <c r="C2100" s="25" t="s">
        <v>2912</v>
      </c>
      <c r="D2100" s="275" t="s">
        <v>2909</v>
      </c>
      <c r="E2100" s="16" t="s">
        <v>1945</v>
      </c>
      <c r="F2100" s="23">
        <f>1366154.84/1000</f>
        <v>1366.1548400000001</v>
      </c>
      <c r="G2100" s="23">
        <f>F2100</f>
        <v>1366.1548400000001</v>
      </c>
      <c r="H2100" s="131">
        <v>0</v>
      </c>
      <c r="I2100" s="131">
        <v>0</v>
      </c>
      <c r="J2100" s="24">
        <v>0</v>
      </c>
      <c r="K2100" s="25" t="s">
        <v>1140</v>
      </c>
    </row>
    <row r="2101" spans="1:11" s="85" customFormat="1" ht="59.4" customHeight="1" x14ac:dyDescent="0.3">
      <c r="A2101" s="136">
        <v>1770</v>
      </c>
      <c r="B2101" s="197"/>
      <c r="C2101" s="25" t="s">
        <v>2913</v>
      </c>
      <c r="D2101" s="275" t="s">
        <v>2911</v>
      </c>
      <c r="E2101" s="16" t="s">
        <v>1945</v>
      </c>
      <c r="F2101" s="23">
        <f>1385900.3/1000</f>
        <v>1385.9003</v>
      </c>
      <c r="G2101" s="23">
        <f>345000/1000</f>
        <v>345</v>
      </c>
      <c r="H2101" s="131">
        <v>0</v>
      </c>
      <c r="I2101" s="131">
        <v>0</v>
      </c>
      <c r="J2101" s="24">
        <v>0</v>
      </c>
      <c r="K2101" s="25" t="s">
        <v>2346</v>
      </c>
    </row>
    <row r="2102" spans="1:11" s="85" customFormat="1" ht="109.2" customHeight="1" x14ac:dyDescent="0.3">
      <c r="A2102" s="249">
        <v>1771</v>
      </c>
      <c r="B2102" s="197"/>
      <c r="C2102" s="25" t="s">
        <v>2914</v>
      </c>
      <c r="D2102" s="275" t="s">
        <v>2915</v>
      </c>
      <c r="E2102" s="16" t="s">
        <v>1945</v>
      </c>
      <c r="F2102" s="23">
        <f>5173553.79/1000</f>
        <v>5173.5537899999999</v>
      </c>
      <c r="G2102" s="23">
        <f>F2102</f>
        <v>5173.5537899999999</v>
      </c>
      <c r="H2102" s="131">
        <v>0</v>
      </c>
      <c r="I2102" s="131">
        <v>0</v>
      </c>
      <c r="J2102" s="24">
        <v>0</v>
      </c>
      <c r="K2102" s="25" t="s">
        <v>1141</v>
      </c>
    </row>
    <row r="2103" spans="1:11" s="85" customFormat="1" ht="117" customHeight="1" x14ac:dyDescent="0.3">
      <c r="A2103" s="253"/>
      <c r="B2103" s="197"/>
      <c r="C2103" s="25" t="s">
        <v>2916</v>
      </c>
      <c r="D2103" s="275" t="s">
        <v>2915</v>
      </c>
      <c r="E2103" s="16" t="s">
        <v>1945</v>
      </c>
      <c r="F2103" s="23">
        <f>460351.2/1000</f>
        <v>460.35120000000001</v>
      </c>
      <c r="G2103" s="23">
        <f>375186.08/1000</f>
        <v>375.18608</v>
      </c>
      <c r="H2103" s="131">
        <v>0</v>
      </c>
      <c r="I2103" s="131">
        <v>0</v>
      </c>
      <c r="J2103" s="24">
        <v>0</v>
      </c>
      <c r="K2103" s="25" t="s">
        <v>2346</v>
      </c>
    </row>
    <row r="2104" spans="1:11" s="85" customFormat="1" ht="114" customHeight="1" x14ac:dyDescent="0.3">
      <c r="A2104" s="136">
        <v>1772</v>
      </c>
      <c r="B2104" s="197"/>
      <c r="C2104" s="25" t="s">
        <v>2917</v>
      </c>
      <c r="D2104" s="275" t="s">
        <v>2915</v>
      </c>
      <c r="E2104" s="16" t="s">
        <v>1945</v>
      </c>
      <c r="F2104" s="23">
        <f>677532/1000</f>
        <v>677.53200000000004</v>
      </c>
      <c r="G2104" s="23">
        <f>443783.46/1000</f>
        <v>443.78346000000005</v>
      </c>
      <c r="H2104" s="131">
        <v>0</v>
      </c>
      <c r="I2104" s="131">
        <v>0</v>
      </c>
      <c r="J2104" s="24">
        <v>0</v>
      </c>
      <c r="K2104" s="25" t="s">
        <v>2346</v>
      </c>
    </row>
    <row r="2105" spans="1:11" s="85" customFormat="1" ht="60" customHeight="1" x14ac:dyDescent="0.3">
      <c r="A2105" s="249">
        <v>1773</v>
      </c>
      <c r="B2105" s="197"/>
      <c r="C2105" s="25" t="s">
        <v>2918</v>
      </c>
      <c r="D2105" s="275" t="s">
        <v>2911</v>
      </c>
      <c r="E2105" s="16" t="s">
        <v>1945</v>
      </c>
      <c r="F2105" s="23">
        <f>2394537.32/1000</f>
        <v>2394.5373199999999</v>
      </c>
      <c r="G2105" s="23">
        <f>600000/1000</f>
        <v>600</v>
      </c>
      <c r="H2105" s="131">
        <v>0</v>
      </c>
      <c r="I2105" s="131">
        <v>0</v>
      </c>
      <c r="J2105" s="24">
        <v>0</v>
      </c>
      <c r="K2105" s="25" t="s">
        <v>2346</v>
      </c>
    </row>
    <row r="2106" spans="1:11" s="85" customFormat="1" ht="75.599999999999994" customHeight="1" x14ac:dyDescent="0.3">
      <c r="A2106" s="253"/>
      <c r="B2106" s="197"/>
      <c r="C2106" s="25" t="s">
        <v>2919</v>
      </c>
      <c r="D2106" s="275" t="s">
        <v>2909</v>
      </c>
      <c r="E2106" s="16" t="s">
        <v>1945</v>
      </c>
      <c r="F2106" s="23">
        <f>2399118.06/1000</f>
        <v>2399.1180600000002</v>
      </c>
      <c r="G2106" s="23">
        <f>F2106</f>
        <v>2399.1180600000002</v>
      </c>
      <c r="H2106" s="131">
        <v>0</v>
      </c>
      <c r="I2106" s="131">
        <v>0</v>
      </c>
      <c r="J2106" s="24">
        <v>0</v>
      </c>
      <c r="K2106" s="25" t="s">
        <v>1140</v>
      </c>
    </row>
    <row r="2107" spans="1:11" s="85" customFormat="1" ht="45" customHeight="1" x14ac:dyDescent="0.3">
      <c r="A2107" s="136">
        <v>1774</v>
      </c>
      <c r="B2107" s="197"/>
      <c r="C2107" s="25" t="s">
        <v>2920</v>
      </c>
      <c r="D2107" s="275" t="s">
        <v>2921</v>
      </c>
      <c r="E2107" s="16" t="s">
        <v>1945</v>
      </c>
      <c r="F2107" s="23">
        <f>4400000/1000</f>
        <v>4400</v>
      </c>
      <c r="G2107" s="23">
        <f>F2107</f>
        <v>4400</v>
      </c>
      <c r="H2107" s="131">
        <v>0</v>
      </c>
      <c r="I2107" s="131">
        <v>0</v>
      </c>
      <c r="J2107" s="24">
        <v>0</v>
      </c>
      <c r="K2107" s="25" t="s">
        <v>1142</v>
      </c>
    </row>
    <row r="2108" spans="1:11" s="85" customFormat="1" ht="51" customHeight="1" x14ac:dyDescent="0.3">
      <c r="A2108" s="136">
        <v>1775</v>
      </c>
      <c r="B2108" s="197"/>
      <c r="C2108" s="25" t="s">
        <v>2922</v>
      </c>
      <c r="D2108" s="275" t="s">
        <v>2923</v>
      </c>
      <c r="E2108" s="16" t="s">
        <v>1945</v>
      </c>
      <c r="F2108" s="23">
        <f>4770000/1000</f>
        <v>4770</v>
      </c>
      <c r="G2108" s="23">
        <f>F2108</f>
        <v>4770</v>
      </c>
      <c r="H2108" s="131">
        <v>0</v>
      </c>
      <c r="I2108" s="131">
        <v>0</v>
      </c>
      <c r="J2108" s="24">
        <v>0</v>
      </c>
      <c r="K2108" s="25" t="s">
        <v>1142</v>
      </c>
    </row>
    <row r="2109" spans="1:11" s="85" customFormat="1" ht="18.600000000000001" customHeight="1" x14ac:dyDescent="0.3">
      <c r="A2109" s="245" t="s">
        <v>2924</v>
      </c>
      <c r="B2109" s="245"/>
      <c r="C2109" s="245"/>
      <c r="D2109" s="245"/>
      <c r="E2109" s="245"/>
      <c r="F2109" s="245"/>
      <c r="G2109" s="28">
        <f>SUM(G2086:G2108)</f>
        <v>25669.525089999999</v>
      </c>
      <c r="H2109" s="131">
        <v>0</v>
      </c>
      <c r="I2109" s="131">
        <v>0</v>
      </c>
      <c r="J2109" s="24">
        <v>0</v>
      </c>
      <c r="K2109" s="150"/>
    </row>
    <row r="2110" spans="1:11" s="85" customFormat="1" ht="57.75" customHeight="1" x14ac:dyDescent="0.3">
      <c r="A2110" s="136">
        <v>1776</v>
      </c>
      <c r="B2110" s="197" t="s">
        <v>2988</v>
      </c>
      <c r="C2110" s="25" t="s">
        <v>2925</v>
      </c>
      <c r="D2110" s="188" t="s">
        <v>2926</v>
      </c>
      <c r="E2110" s="16" t="s">
        <v>1945</v>
      </c>
      <c r="F2110" s="23">
        <f>16400/1000</f>
        <v>16.399999999999999</v>
      </c>
      <c r="G2110" s="23">
        <f>12300/1000</f>
        <v>12.3</v>
      </c>
      <c r="H2110" s="23">
        <f>4100/1000</f>
        <v>4.0999999999999996</v>
      </c>
      <c r="I2110" s="131">
        <v>0</v>
      </c>
      <c r="J2110" s="24">
        <v>0</v>
      </c>
      <c r="K2110" s="25" t="s">
        <v>2927</v>
      </c>
    </row>
    <row r="2111" spans="1:11" s="85" customFormat="1" ht="39.75" customHeight="1" x14ac:dyDescent="0.3">
      <c r="A2111" s="136">
        <v>1777</v>
      </c>
      <c r="B2111" s="197"/>
      <c r="C2111" s="25" t="s">
        <v>2928</v>
      </c>
      <c r="D2111" s="188" t="s">
        <v>2017</v>
      </c>
      <c r="E2111" s="16" t="s">
        <v>1945</v>
      </c>
      <c r="F2111" s="24">
        <f>21536/1000</f>
        <v>21.536000000000001</v>
      </c>
      <c r="G2111" s="23">
        <f>16152/1000</f>
        <v>16.152000000000001</v>
      </c>
      <c r="H2111" s="23">
        <f>5384/1000</f>
        <v>5.3840000000000003</v>
      </c>
      <c r="I2111" s="131">
        <v>0</v>
      </c>
      <c r="J2111" s="24">
        <v>0</v>
      </c>
      <c r="K2111" s="25" t="s">
        <v>2927</v>
      </c>
    </row>
    <row r="2112" spans="1:11" s="85" customFormat="1" ht="39.75" customHeight="1" x14ac:dyDescent="0.3">
      <c r="A2112" s="136">
        <v>1778</v>
      </c>
      <c r="B2112" s="197"/>
      <c r="C2112" s="25" t="s">
        <v>2929</v>
      </c>
      <c r="D2112" s="188" t="s">
        <v>2930</v>
      </c>
      <c r="E2112" s="16" t="s">
        <v>1945</v>
      </c>
      <c r="F2112" s="23">
        <f>53961.92/1000</f>
        <v>53.961919999999999</v>
      </c>
      <c r="G2112" s="23">
        <f>F2112</f>
        <v>53.961919999999999</v>
      </c>
      <c r="H2112" s="131">
        <v>0</v>
      </c>
      <c r="I2112" s="131">
        <v>0</v>
      </c>
      <c r="J2112" s="24">
        <v>0</v>
      </c>
      <c r="K2112" s="25" t="s">
        <v>2931</v>
      </c>
    </row>
    <row r="2113" spans="1:11" s="85" customFormat="1" ht="51" customHeight="1" x14ac:dyDescent="0.3">
      <c r="A2113" s="136">
        <v>1779</v>
      </c>
      <c r="B2113" s="197"/>
      <c r="C2113" s="25" t="s">
        <v>2932</v>
      </c>
      <c r="D2113" s="188" t="s">
        <v>2933</v>
      </c>
      <c r="E2113" s="16" t="s">
        <v>1945</v>
      </c>
      <c r="F2113" s="23">
        <f>64785/1000</f>
        <v>64.784999999999997</v>
      </c>
      <c r="G2113" s="23">
        <f>59386.25/1000</f>
        <v>59.386249999999997</v>
      </c>
      <c r="H2113" s="23">
        <f>5398.75/1000</f>
        <v>5.3987499999999997</v>
      </c>
      <c r="I2113" s="131">
        <v>0</v>
      </c>
      <c r="J2113" s="24">
        <v>0</v>
      </c>
      <c r="K2113" s="25" t="s">
        <v>2927</v>
      </c>
    </row>
    <row r="2114" spans="1:11" s="85" customFormat="1" ht="39.75" customHeight="1" x14ac:dyDescent="0.3">
      <c r="A2114" s="136">
        <v>1780</v>
      </c>
      <c r="B2114" s="197"/>
      <c r="C2114" s="25" t="s">
        <v>2934</v>
      </c>
      <c r="D2114" s="188" t="s">
        <v>2935</v>
      </c>
      <c r="E2114" s="16" t="s">
        <v>1945</v>
      </c>
      <c r="F2114" s="23">
        <f>131500.08/1000</f>
        <v>131.50008</v>
      </c>
      <c r="G2114" s="23">
        <f>120541.74/1000</f>
        <v>120.54174</v>
      </c>
      <c r="H2114" s="23">
        <f>10958.34/1000</f>
        <v>10.95834</v>
      </c>
      <c r="I2114" s="131">
        <v>0</v>
      </c>
      <c r="J2114" s="24">
        <v>0</v>
      </c>
      <c r="K2114" s="25" t="s">
        <v>2927</v>
      </c>
    </row>
    <row r="2115" spans="1:11" s="85" customFormat="1" ht="39.75" customHeight="1" x14ac:dyDescent="0.3">
      <c r="A2115" s="136">
        <v>1781</v>
      </c>
      <c r="B2115" s="197"/>
      <c r="C2115" s="25" t="s">
        <v>2936</v>
      </c>
      <c r="D2115" s="188" t="s">
        <v>91</v>
      </c>
      <c r="E2115" s="16" t="s">
        <v>1945</v>
      </c>
      <c r="F2115" s="23">
        <f>145301.05/1000</f>
        <v>145.30104999999998</v>
      </c>
      <c r="G2115" s="23">
        <f>F2115</f>
        <v>145.30104999999998</v>
      </c>
      <c r="H2115" s="131">
        <v>0</v>
      </c>
      <c r="I2115" s="131">
        <v>0</v>
      </c>
      <c r="J2115" s="24">
        <v>0</v>
      </c>
      <c r="K2115" s="25" t="s">
        <v>2937</v>
      </c>
    </row>
    <row r="2116" spans="1:11" s="85" customFormat="1" ht="98.4" customHeight="1" x14ac:dyDescent="0.3">
      <c r="A2116" s="136">
        <v>1782</v>
      </c>
      <c r="B2116" s="197"/>
      <c r="C2116" s="25" t="s">
        <v>2938</v>
      </c>
      <c r="D2116" s="188" t="s">
        <v>2939</v>
      </c>
      <c r="E2116" s="16" t="s">
        <v>1945</v>
      </c>
      <c r="F2116" s="23">
        <f>166800/1000</f>
        <v>166.8</v>
      </c>
      <c r="G2116" s="23">
        <f>152900/1000</f>
        <v>152.9</v>
      </c>
      <c r="H2116" s="23">
        <f>13900/1000</f>
        <v>13.9</v>
      </c>
      <c r="I2116" s="131">
        <v>0</v>
      </c>
      <c r="J2116" s="24">
        <v>0</v>
      </c>
      <c r="K2116" s="25" t="s">
        <v>2927</v>
      </c>
    </row>
    <row r="2117" spans="1:11" s="85" customFormat="1" ht="61.2" customHeight="1" x14ac:dyDescent="0.3">
      <c r="A2117" s="136">
        <v>1783</v>
      </c>
      <c r="B2117" s="197"/>
      <c r="C2117" s="25" t="s">
        <v>2940</v>
      </c>
      <c r="D2117" s="188" t="s">
        <v>1368</v>
      </c>
      <c r="E2117" s="16" t="s">
        <v>1945</v>
      </c>
      <c r="F2117" s="23">
        <f>215400/1000</f>
        <v>215.4</v>
      </c>
      <c r="G2117" s="23">
        <f>172320/1000</f>
        <v>172.32</v>
      </c>
      <c r="H2117" s="23">
        <f>F2117-G2117</f>
        <v>43.080000000000013</v>
      </c>
      <c r="I2117" s="131">
        <v>0</v>
      </c>
      <c r="J2117" s="24">
        <v>0</v>
      </c>
      <c r="K2117" s="25" t="s">
        <v>2927</v>
      </c>
    </row>
    <row r="2118" spans="1:11" s="85" customFormat="1" ht="69" customHeight="1" x14ac:dyDescent="0.3">
      <c r="A2118" s="136">
        <v>1784</v>
      </c>
      <c r="B2118" s="197"/>
      <c r="C2118" s="25" t="s">
        <v>2941</v>
      </c>
      <c r="D2118" s="188" t="s">
        <v>2890</v>
      </c>
      <c r="E2118" s="16" t="s">
        <v>1945</v>
      </c>
      <c r="F2118" s="23">
        <f>272816.49/1000</f>
        <v>272.81648999999999</v>
      </c>
      <c r="G2118" s="23">
        <f>F2118</f>
        <v>272.81648999999999</v>
      </c>
      <c r="H2118" s="23"/>
      <c r="I2118" s="131">
        <v>0</v>
      </c>
      <c r="J2118" s="24">
        <v>0</v>
      </c>
      <c r="K2118" s="25" t="s">
        <v>2942</v>
      </c>
    </row>
    <row r="2119" spans="1:11" s="85" customFormat="1" ht="51.75" customHeight="1" x14ac:dyDescent="0.3">
      <c r="A2119" s="136">
        <v>1785</v>
      </c>
      <c r="B2119" s="197"/>
      <c r="C2119" s="25" t="s">
        <v>2943</v>
      </c>
      <c r="D2119" s="188" t="s">
        <v>2944</v>
      </c>
      <c r="E2119" s="16" t="s">
        <v>1945</v>
      </c>
      <c r="F2119" s="23">
        <f>313224.4/1000</f>
        <v>313.2244</v>
      </c>
      <c r="G2119" s="23">
        <f>F2119</f>
        <v>313.2244</v>
      </c>
      <c r="H2119" s="23"/>
      <c r="I2119" s="131">
        <v>0</v>
      </c>
      <c r="J2119" s="24">
        <v>0</v>
      </c>
      <c r="K2119" s="25" t="s">
        <v>2927</v>
      </c>
    </row>
    <row r="2120" spans="1:11" s="85" customFormat="1" ht="50.25" customHeight="1" x14ac:dyDescent="0.3">
      <c r="A2120" s="136">
        <v>1786</v>
      </c>
      <c r="B2120" s="197"/>
      <c r="C2120" s="25" t="s">
        <v>2945</v>
      </c>
      <c r="D2120" s="188" t="s">
        <v>2946</v>
      </c>
      <c r="E2120" s="16" t="s">
        <v>1945</v>
      </c>
      <c r="F2120" s="23">
        <f>358150/1000</f>
        <v>358.15</v>
      </c>
      <c r="G2120" s="23">
        <f>326250/1000</f>
        <v>326.25</v>
      </c>
      <c r="H2120" s="23">
        <f>31900/1000</f>
        <v>31.9</v>
      </c>
      <c r="I2120" s="131">
        <v>0</v>
      </c>
      <c r="J2120" s="24">
        <v>0</v>
      </c>
      <c r="K2120" s="25" t="s">
        <v>2927</v>
      </c>
    </row>
    <row r="2121" spans="1:11" s="85" customFormat="1" ht="55.5" customHeight="1" x14ac:dyDescent="0.3">
      <c r="A2121" s="136">
        <v>1787</v>
      </c>
      <c r="B2121" s="197"/>
      <c r="C2121" s="25" t="s">
        <v>2947</v>
      </c>
      <c r="D2121" s="188" t="s">
        <v>2948</v>
      </c>
      <c r="E2121" s="16" t="s">
        <v>1945</v>
      </c>
      <c r="F2121" s="23">
        <f>349000.02/1000</f>
        <v>349.00002000000001</v>
      </c>
      <c r="G2121" s="23">
        <f>349000.02/1000</f>
        <v>349.00002000000001</v>
      </c>
      <c r="H2121" s="23"/>
      <c r="I2121" s="131">
        <v>0</v>
      </c>
      <c r="J2121" s="24">
        <v>0</v>
      </c>
      <c r="K2121" s="25" t="s">
        <v>2927</v>
      </c>
    </row>
    <row r="2122" spans="1:11" s="85" customFormat="1" ht="39.75" customHeight="1" x14ac:dyDescent="0.3">
      <c r="A2122" s="136">
        <v>1788</v>
      </c>
      <c r="B2122" s="197"/>
      <c r="C2122" s="25" t="s">
        <v>2949</v>
      </c>
      <c r="D2122" s="188" t="s">
        <v>2950</v>
      </c>
      <c r="E2122" s="16" t="s">
        <v>1945</v>
      </c>
      <c r="F2122" s="23">
        <f>412000/1000</f>
        <v>412</v>
      </c>
      <c r="G2122" s="23">
        <f>412000/1000</f>
        <v>412</v>
      </c>
      <c r="H2122" s="23"/>
      <c r="I2122" s="131">
        <v>0</v>
      </c>
      <c r="J2122" s="24">
        <v>0</v>
      </c>
      <c r="K2122" s="25" t="s">
        <v>2927</v>
      </c>
    </row>
    <row r="2123" spans="1:11" s="85" customFormat="1" ht="56.25" customHeight="1" x14ac:dyDescent="0.3">
      <c r="A2123" s="136">
        <v>1789</v>
      </c>
      <c r="B2123" s="197"/>
      <c r="C2123" s="25" t="s">
        <v>2951</v>
      </c>
      <c r="D2123" s="188" t="s">
        <v>2897</v>
      </c>
      <c r="E2123" s="16" t="s">
        <v>1945</v>
      </c>
      <c r="F2123" s="23">
        <f>424761.58/1000</f>
        <v>424.76158000000004</v>
      </c>
      <c r="G2123" s="23">
        <f>F2123</f>
        <v>424.76158000000004</v>
      </c>
      <c r="H2123" s="23"/>
      <c r="I2123" s="131">
        <v>0</v>
      </c>
      <c r="J2123" s="24">
        <v>0</v>
      </c>
      <c r="K2123" s="25" t="s">
        <v>2927</v>
      </c>
    </row>
    <row r="2124" spans="1:11" s="85" customFormat="1" ht="39.75" customHeight="1" x14ac:dyDescent="0.3">
      <c r="A2124" s="136">
        <v>1790</v>
      </c>
      <c r="B2124" s="197"/>
      <c r="C2124" s="25" t="s">
        <v>2952</v>
      </c>
      <c r="D2124" s="188" t="s">
        <v>2901</v>
      </c>
      <c r="E2124" s="16" t="s">
        <v>1945</v>
      </c>
      <c r="F2124" s="23">
        <f>544942.57/1000</f>
        <v>544.94256999999993</v>
      </c>
      <c r="G2124" s="23">
        <f>544942.57/1000</f>
        <v>544.94256999999993</v>
      </c>
      <c r="H2124" s="23"/>
      <c r="I2124" s="131">
        <v>0</v>
      </c>
      <c r="J2124" s="24">
        <v>0</v>
      </c>
      <c r="K2124" s="25" t="s">
        <v>2927</v>
      </c>
    </row>
    <row r="2125" spans="1:11" s="85" customFormat="1" ht="39.75" customHeight="1" x14ac:dyDescent="0.3">
      <c r="A2125" s="136">
        <v>1791</v>
      </c>
      <c r="B2125" s="197"/>
      <c r="C2125" s="25" t="s">
        <v>2953</v>
      </c>
      <c r="D2125" s="188" t="s">
        <v>1370</v>
      </c>
      <c r="E2125" s="16" t="s">
        <v>1945</v>
      </c>
      <c r="F2125" s="23">
        <f>603542.53/1000</f>
        <v>603.54253000000006</v>
      </c>
      <c r="G2125" s="23">
        <f>549785.7/1000</f>
        <v>549.78569999999991</v>
      </c>
      <c r="H2125" s="23">
        <f>53756.83/1000</f>
        <v>53.756830000000001</v>
      </c>
      <c r="I2125" s="131">
        <v>0</v>
      </c>
      <c r="J2125" s="24">
        <v>0</v>
      </c>
      <c r="K2125" s="25" t="s">
        <v>2927</v>
      </c>
    </row>
    <row r="2126" spans="1:11" s="85" customFormat="1" ht="109.2" customHeight="1" x14ac:dyDescent="0.3">
      <c r="A2126" s="136">
        <v>1792</v>
      </c>
      <c r="B2126" s="197"/>
      <c r="C2126" s="25" t="s">
        <v>2954</v>
      </c>
      <c r="D2126" s="188" t="s">
        <v>2915</v>
      </c>
      <c r="E2126" s="16" t="s">
        <v>1945</v>
      </c>
      <c r="F2126" s="23">
        <f>660846.02/1000</f>
        <v>660.84602000000007</v>
      </c>
      <c r="G2126" s="23">
        <f>660846.02/1000</f>
        <v>660.84602000000007</v>
      </c>
      <c r="H2126" s="23"/>
      <c r="I2126" s="131">
        <v>0</v>
      </c>
      <c r="J2126" s="24">
        <v>0</v>
      </c>
      <c r="K2126" s="25" t="s">
        <v>2931</v>
      </c>
    </row>
    <row r="2127" spans="1:11" s="85" customFormat="1" ht="39.75" customHeight="1" x14ac:dyDescent="0.3">
      <c r="A2127" s="136">
        <v>1793</v>
      </c>
      <c r="B2127" s="197"/>
      <c r="C2127" s="25" t="s">
        <v>2955</v>
      </c>
      <c r="D2127" s="188" t="s">
        <v>49</v>
      </c>
      <c r="E2127" s="16" t="s">
        <v>1945</v>
      </c>
      <c r="F2127" s="24">
        <f>1611840/1000</f>
        <v>1611.84</v>
      </c>
      <c r="G2127" s="23">
        <f>1474944/1000</f>
        <v>1474.944</v>
      </c>
      <c r="H2127" s="23">
        <f>136896/1000</f>
        <v>136.89599999999999</v>
      </c>
      <c r="I2127" s="131">
        <v>0</v>
      </c>
      <c r="J2127" s="24">
        <v>0</v>
      </c>
      <c r="K2127" s="25" t="s">
        <v>2927</v>
      </c>
    </row>
    <row r="2128" spans="1:11" s="85" customFormat="1" ht="58.8" customHeight="1" x14ac:dyDescent="0.3">
      <c r="A2128" s="136">
        <v>1794</v>
      </c>
      <c r="B2128" s="197"/>
      <c r="C2128" s="25" t="s">
        <v>2956</v>
      </c>
      <c r="D2128" s="188" t="s">
        <v>2957</v>
      </c>
      <c r="E2128" s="16" t="s">
        <v>1945</v>
      </c>
      <c r="F2128" s="23">
        <f>1988000.04/1000</f>
        <v>1988.0000400000001</v>
      </c>
      <c r="G2128" s="23">
        <f>F2128</f>
        <v>1988.0000400000001</v>
      </c>
      <c r="H2128" s="23"/>
      <c r="I2128" s="131">
        <v>0</v>
      </c>
      <c r="J2128" s="24">
        <v>0</v>
      </c>
      <c r="K2128" s="25" t="s">
        <v>2927</v>
      </c>
    </row>
    <row r="2129" spans="1:11" s="85" customFormat="1" ht="118.8" customHeight="1" x14ac:dyDescent="0.3">
      <c r="A2129" s="136">
        <v>1795</v>
      </c>
      <c r="B2129" s="197"/>
      <c r="C2129" s="25" t="s">
        <v>2958</v>
      </c>
      <c r="D2129" s="188" t="s">
        <v>2959</v>
      </c>
      <c r="E2129" s="16" t="s">
        <v>1945</v>
      </c>
      <c r="F2129" s="23">
        <f>2008455.2/1000</f>
        <v>2008.4551999999999</v>
      </c>
      <c r="G2129" s="23">
        <f>2008455.2/1000</f>
        <v>2008.4551999999999</v>
      </c>
      <c r="H2129" s="23"/>
      <c r="I2129" s="131">
        <v>0</v>
      </c>
      <c r="J2129" s="24">
        <v>0</v>
      </c>
      <c r="K2129" s="25" t="s">
        <v>2927</v>
      </c>
    </row>
    <row r="2130" spans="1:11" s="85" customFormat="1" ht="41.25" customHeight="1" x14ac:dyDescent="0.3">
      <c r="A2130" s="136">
        <v>1796</v>
      </c>
      <c r="B2130" s="197"/>
      <c r="C2130" s="25" t="s">
        <v>2960</v>
      </c>
      <c r="D2130" s="188" t="s">
        <v>1355</v>
      </c>
      <c r="E2130" s="16" t="s">
        <v>1945</v>
      </c>
      <c r="F2130" s="23">
        <f>2323148/1000</f>
        <v>2323.1480000000001</v>
      </c>
      <c r="G2130" s="23">
        <f>2109776/1000</f>
        <v>2109.7759999999998</v>
      </c>
      <c r="H2130" s="23">
        <f>213372/1000</f>
        <v>213.37200000000001</v>
      </c>
      <c r="I2130" s="131">
        <v>0</v>
      </c>
      <c r="J2130" s="24">
        <v>0</v>
      </c>
      <c r="K2130" s="25" t="s">
        <v>2927</v>
      </c>
    </row>
    <row r="2131" spans="1:11" s="85" customFormat="1" ht="39.75" customHeight="1" x14ac:dyDescent="0.3">
      <c r="A2131" s="136">
        <v>1797</v>
      </c>
      <c r="B2131" s="197"/>
      <c r="C2131" s="25" t="s">
        <v>2961</v>
      </c>
      <c r="D2131" s="188" t="s">
        <v>2962</v>
      </c>
      <c r="E2131" s="16" t="s">
        <v>1945</v>
      </c>
      <c r="F2131" s="23">
        <f>10949730.96/1000</f>
        <v>10949.730960000001</v>
      </c>
      <c r="G2131" s="23">
        <f>F2131</f>
        <v>10949.730960000001</v>
      </c>
      <c r="H2131" s="23"/>
      <c r="I2131" s="131">
        <v>0</v>
      </c>
      <c r="J2131" s="24">
        <v>0</v>
      </c>
      <c r="K2131" s="25" t="s">
        <v>2937</v>
      </c>
    </row>
    <row r="2132" spans="1:11" s="85" customFormat="1" ht="15.6" customHeight="1" x14ac:dyDescent="0.3">
      <c r="A2132" s="245" t="s">
        <v>2924</v>
      </c>
      <c r="B2132" s="245"/>
      <c r="C2132" s="245"/>
      <c r="D2132" s="245"/>
      <c r="E2132" s="245"/>
      <c r="F2132" s="23"/>
      <c r="G2132" s="28">
        <f t="shared" ref="G2132:H2132" si="122">SUM(G2110:G2131)</f>
        <v>23117.395940000002</v>
      </c>
      <c r="H2132" s="28">
        <f t="shared" si="122"/>
        <v>518.74592000000007</v>
      </c>
      <c r="I2132" s="131">
        <v>0</v>
      </c>
      <c r="J2132" s="24">
        <v>0</v>
      </c>
      <c r="K2132" s="150" t="s">
        <v>10</v>
      </c>
    </row>
    <row r="2133" spans="1:11" s="85" customFormat="1" ht="51.75" customHeight="1" x14ac:dyDescent="0.3">
      <c r="A2133" s="136">
        <v>1798</v>
      </c>
      <c r="B2133" s="197" t="s">
        <v>2987</v>
      </c>
      <c r="C2133" s="25" t="s">
        <v>2963</v>
      </c>
      <c r="D2133" s="188" t="s">
        <v>2926</v>
      </c>
      <c r="E2133" s="16" t="s">
        <v>1945</v>
      </c>
      <c r="F2133" s="23">
        <f>16400/1000</f>
        <v>16.399999999999999</v>
      </c>
      <c r="G2133" s="23">
        <f>12300/1000</f>
        <v>12.3</v>
      </c>
      <c r="H2133" s="23">
        <f>F2133-G2133</f>
        <v>4.0999999999999979</v>
      </c>
      <c r="I2133" s="131">
        <v>0</v>
      </c>
      <c r="J2133" s="24">
        <v>0</v>
      </c>
      <c r="K2133" s="25" t="s">
        <v>2964</v>
      </c>
    </row>
    <row r="2134" spans="1:11" s="85" customFormat="1" ht="39.9" customHeight="1" x14ac:dyDescent="0.3">
      <c r="A2134" s="136">
        <v>1799</v>
      </c>
      <c r="B2134" s="197"/>
      <c r="C2134" s="25" t="s">
        <v>2965</v>
      </c>
      <c r="D2134" s="188" t="s">
        <v>2017</v>
      </c>
      <c r="E2134" s="16" t="s">
        <v>1945</v>
      </c>
      <c r="F2134" s="24">
        <f>21536/1000</f>
        <v>21.536000000000001</v>
      </c>
      <c r="G2134" s="23">
        <f>16152/1000</f>
        <v>16.152000000000001</v>
      </c>
      <c r="H2134" s="23">
        <f>5384/1000</f>
        <v>5.3840000000000003</v>
      </c>
      <c r="I2134" s="131">
        <v>0</v>
      </c>
      <c r="J2134" s="24">
        <v>0</v>
      </c>
      <c r="K2134" s="25" t="s">
        <v>2964</v>
      </c>
    </row>
    <row r="2135" spans="1:11" s="85" customFormat="1" ht="45.75" customHeight="1" x14ac:dyDescent="0.3">
      <c r="A2135" s="136">
        <v>1800</v>
      </c>
      <c r="B2135" s="197"/>
      <c r="C2135" s="25" t="s">
        <v>2966</v>
      </c>
      <c r="D2135" s="188" t="s">
        <v>2933</v>
      </c>
      <c r="E2135" s="16" t="s">
        <v>1945</v>
      </c>
      <c r="F2135" s="23">
        <f>64785/1000</f>
        <v>64.784999999999997</v>
      </c>
      <c r="G2135" s="23">
        <f>59386.25/1000</f>
        <v>59.386249999999997</v>
      </c>
      <c r="H2135" s="23">
        <f>5398.75/1000</f>
        <v>5.3987499999999997</v>
      </c>
      <c r="I2135" s="131">
        <v>0</v>
      </c>
      <c r="J2135" s="24">
        <v>0</v>
      </c>
      <c r="K2135" s="25" t="s">
        <v>2964</v>
      </c>
    </row>
    <row r="2136" spans="1:11" s="85" customFormat="1" ht="39.9" customHeight="1" x14ac:dyDescent="0.3">
      <c r="A2136" s="136">
        <v>1801</v>
      </c>
      <c r="B2136" s="197"/>
      <c r="C2136" s="25" t="s">
        <v>2967</v>
      </c>
      <c r="D2136" s="188" t="s">
        <v>2935</v>
      </c>
      <c r="E2136" s="16" t="s">
        <v>1945</v>
      </c>
      <c r="F2136" s="23">
        <f>131500/1000</f>
        <v>131.5</v>
      </c>
      <c r="G2136" s="23">
        <f>120541.74/1000</f>
        <v>120.54174</v>
      </c>
      <c r="H2136" s="23">
        <f>10958.34/1000</f>
        <v>10.95834</v>
      </c>
      <c r="I2136" s="131">
        <v>0</v>
      </c>
      <c r="J2136" s="24">
        <v>0</v>
      </c>
      <c r="K2136" s="25" t="s">
        <v>2964</v>
      </c>
    </row>
    <row r="2137" spans="1:11" s="85" customFormat="1" ht="39.9" customHeight="1" x14ac:dyDescent="0.3">
      <c r="A2137" s="136">
        <v>1802</v>
      </c>
      <c r="B2137" s="197"/>
      <c r="C2137" s="25" t="s">
        <v>2968</v>
      </c>
      <c r="D2137" s="188" t="s">
        <v>91</v>
      </c>
      <c r="E2137" s="16" t="s">
        <v>1945</v>
      </c>
      <c r="F2137" s="23">
        <f>145301.05/1000</f>
        <v>145.30104999999998</v>
      </c>
      <c r="G2137" s="23">
        <f>F2137</f>
        <v>145.30104999999998</v>
      </c>
      <c r="H2137" s="23"/>
      <c r="I2137" s="131">
        <v>0</v>
      </c>
      <c r="J2137" s="24">
        <v>0</v>
      </c>
      <c r="K2137" s="25" t="s">
        <v>2969</v>
      </c>
    </row>
    <row r="2138" spans="1:11" s="85" customFormat="1" ht="84" customHeight="1" x14ac:dyDescent="0.3">
      <c r="A2138" s="136">
        <v>1803</v>
      </c>
      <c r="B2138" s="197"/>
      <c r="C2138" s="25" t="s">
        <v>2970</v>
      </c>
      <c r="D2138" s="188" t="s">
        <v>2939</v>
      </c>
      <c r="E2138" s="16" t="s">
        <v>1945</v>
      </c>
      <c r="F2138" s="23">
        <f>166800/1000</f>
        <v>166.8</v>
      </c>
      <c r="G2138" s="23">
        <f>152900/1000</f>
        <v>152.9</v>
      </c>
      <c r="H2138" s="23">
        <f>13900/1000</f>
        <v>13.9</v>
      </c>
      <c r="I2138" s="131">
        <v>0</v>
      </c>
      <c r="J2138" s="24">
        <v>0</v>
      </c>
      <c r="K2138" s="25" t="s">
        <v>2964</v>
      </c>
    </row>
    <row r="2139" spans="1:11" s="85" customFormat="1" ht="54" customHeight="1" x14ac:dyDescent="0.3">
      <c r="A2139" s="136">
        <v>1804</v>
      </c>
      <c r="B2139" s="197"/>
      <c r="C2139" s="25" t="s">
        <v>2971</v>
      </c>
      <c r="D2139" s="188" t="s">
        <v>1368</v>
      </c>
      <c r="E2139" s="16" t="s">
        <v>1945</v>
      </c>
      <c r="F2139" s="23">
        <f>215400/1000</f>
        <v>215.4</v>
      </c>
      <c r="G2139" s="23">
        <f>172320/1000</f>
        <v>172.32</v>
      </c>
      <c r="H2139" s="23">
        <f>F2139-G2139</f>
        <v>43.080000000000013</v>
      </c>
      <c r="I2139" s="131">
        <v>0</v>
      </c>
      <c r="J2139" s="24">
        <v>0</v>
      </c>
      <c r="K2139" s="25" t="s">
        <v>2964</v>
      </c>
    </row>
    <row r="2140" spans="1:11" s="85" customFormat="1" ht="68.400000000000006" customHeight="1" x14ac:dyDescent="0.3">
      <c r="A2140" s="136">
        <v>1805</v>
      </c>
      <c r="B2140" s="197"/>
      <c r="C2140" s="25" t="s">
        <v>2972</v>
      </c>
      <c r="D2140" s="188" t="s">
        <v>2890</v>
      </c>
      <c r="E2140" s="16" t="s">
        <v>1945</v>
      </c>
      <c r="F2140" s="23">
        <f>180766.56/1000</f>
        <v>180.76656</v>
      </c>
      <c r="G2140" s="23">
        <f>F2140</f>
        <v>180.76656</v>
      </c>
      <c r="H2140" s="131">
        <v>0</v>
      </c>
      <c r="I2140" s="131">
        <v>0</v>
      </c>
      <c r="J2140" s="24">
        <v>0</v>
      </c>
      <c r="K2140" s="25" t="s">
        <v>2973</v>
      </c>
    </row>
    <row r="2141" spans="1:11" s="85" customFormat="1" ht="54.75" customHeight="1" x14ac:dyDescent="0.3">
      <c r="A2141" s="136">
        <v>1806</v>
      </c>
      <c r="B2141" s="197"/>
      <c r="C2141" s="25" t="s">
        <v>2974</v>
      </c>
      <c r="D2141" s="188" t="s">
        <v>2944</v>
      </c>
      <c r="E2141" s="16" t="s">
        <v>1945</v>
      </c>
      <c r="F2141" s="23">
        <f>313224.4/1000</f>
        <v>313.2244</v>
      </c>
      <c r="G2141" s="23">
        <f>F2141</f>
        <v>313.2244</v>
      </c>
      <c r="H2141" s="131">
        <v>0</v>
      </c>
      <c r="I2141" s="131">
        <v>0</v>
      </c>
      <c r="J2141" s="24">
        <v>0</v>
      </c>
      <c r="K2141" s="25" t="s">
        <v>2964</v>
      </c>
    </row>
    <row r="2142" spans="1:11" s="85" customFormat="1" ht="48.75" customHeight="1" x14ac:dyDescent="0.3">
      <c r="A2142" s="136">
        <v>1807</v>
      </c>
      <c r="B2142" s="197"/>
      <c r="C2142" s="25" t="s">
        <v>2975</v>
      </c>
      <c r="D2142" s="188" t="s">
        <v>2946</v>
      </c>
      <c r="E2142" s="16" t="s">
        <v>1945</v>
      </c>
      <c r="F2142" s="23">
        <f>358150/1000</f>
        <v>358.15</v>
      </c>
      <c r="G2142" s="23">
        <f>326250/1000</f>
        <v>326.25</v>
      </c>
      <c r="H2142" s="23">
        <f>31900/1000</f>
        <v>31.9</v>
      </c>
      <c r="I2142" s="131">
        <v>0</v>
      </c>
      <c r="J2142" s="24">
        <v>0</v>
      </c>
      <c r="K2142" s="25" t="s">
        <v>2964</v>
      </c>
    </row>
    <row r="2143" spans="1:11" s="85" customFormat="1" ht="39.9" customHeight="1" x14ac:dyDescent="0.3">
      <c r="A2143" s="136">
        <v>1808</v>
      </c>
      <c r="B2143" s="197"/>
      <c r="C2143" s="25" t="s">
        <v>2976</v>
      </c>
      <c r="D2143" s="188" t="s">
        <v>2948</v>
      </c>
      <c r="E2143" s="16" t="s">
        <v>1945</v>
      </c>
      <c r="F2143" s="23">
        <f>349000.02/1000</f>
        <v>349.00002000000001</v>
      </c>
      <c r="G2143" s="23">
        <f>349000.02/1000</f>
        <v>349.00002000000001</v>
      </c>
      <c r="H2143" s="131">
        <v>0</v>
      </c>
      <c r="I2143" s="131">
        <v>0</v>
      </c>
      <c r="J2143" s="24">
        <v>0</v>
      </c>
      <c r="K2143" s="25" t="s">
        <v>2964</v>
      </c>
    </row>
    <row r="2144" spans="1:11" s="85" customFormat="1" ht="39.9" customHeight="1" x14ac:dyDescent="0.3">
      <c r="A2144" s="136">
        <v>1809</v>
      </c>
      <c r="B2144" s="197"/>
      <c r="C2144" s="25" t="s">
        <v>2977</v>
      </c>
      <c r="D2144" s="188" t="s">
        <v>2950</v>
      </c>
      <c r="E2144" s="16" t="s">
        <v>1945</v>
      </c>
      <c r="F2144" s="23">
        <f>412000/1000</f>
        <v>412</v>
      </c>
      <c r="G2144" s="23">
        <f>412000/1000</f>
        <v>412</v>
      </c>
      <c r="H2144" s="131">
        <v>0</v>
      </c>
      <c r="I2144" s="131">
        <v>0</v>
      </c>
      <c r="J2144" s="24">
        <v>0</v>
      </c>
      <c r="K2144" s="25" t="s">
        <v>2964</v>
      </c>
    </row>
    <row r="2145" spans="1:11" s="85" customFormat="1" ht="55.5" customHeight="1" x14ac:dyDescent="0.3">
      <c r="A2145" s="136">
        <v>1810</v>
      </c>
      <c r="B2145" s="197"/>
      <c r="C2145" s="25" t="s">
        <v>2978</v>
      </c>
      <c r="D2145" s="188" t="s">
        <v>2897</v>
      </c>
      <c r="E2145" s="16" t="s">
        <v>1945</v>
      </c>
      <c r="F2145" s="23">
        <f>424761.58/1000</f>
        <v>424.76158000000004</v>
      </c>
      <c r="G2145" s="23">
        <f>F2145</f>
        <v>424.76158000000004</v>
      </c>
      <c r="H2145" s="131">
        <v>0</v>
      </c>
      <c r="I2145" s="131">
        <v>0</v>
      </c>
      <c r="J2145" s="24">
        <v>0</v>
      </c>
      <c r="K2145" s="25" t="s">
        <v>2964</v>
      </c>
    </row>
    <row r="2146" spans="1:11" s="85" customFormat="1" ht="39.9" customHeight="1" x14ac:dyDescent="0.3">
      <c r="A2146" s="136">
        <v>1811</v>
      </c>
      <c r="B2146" s="197"/>
      <c r="C2146" s="25" t="s">
        <v>2979</v>
      </c>
      <c r="D2146" s="188" t="s">
        <v>1459</v>
      </c>
      <c r="E2146" s="16" t="s">
        <v>1945</v>
      </c>
      <c r="F2146" s="23">
        <f>603542.53/1000</f>
        <v>603.54253000000006</v>
      </c>
      <c r="G2146" s="23">
        <f>549785.7/1000</f>
        <v>549.78569999999991</v>
      </c>
      <c r="H2146" s="23">
        <f>53756.83/1000</f>
        <v>53.756830000000001</v>
      </c>
      <c r="I2146" s="131">
        <v>0</v>
      </c>
      <c r="J2146" s="24">
        <v>0</v>
      </c>
      <c r="K2146" s="25" t="s">
        <v>2964</v>
      </c>
    </row>
    <row r="2147" spans="1:11" s="85" customFormat="1" ht="63.75" customHeight="1" x14ac:dyDescent="0.3">
      <c r="A2147" s="136">
        <v>1812</v>
      </c>
      <c r="B2147" s="197"/>
      <c r="C2147" s="25" t="s">
        <v>2980</v>
      </c>
      <c r="D2147" s="188" t="s">
        <v>2901</v>
      </c>
      <c r="E2147" s="16" t="s">
        <v>1945</v>
      </c>
      <c r="F2147" s="23">
        <f>599658.58/1000</f>
        <v>599.65857999999992</v>
      </c>
      <c r="G2147" s="23">
        <f>F2147</f>
        <v>599.65857999999992</v>
      </c>
      <c r="H2147" s="131">
        <v>0</v>
      </c>
      <c r="I2147" s="131">
        <v>0</v>
      </c>
      <c r="J2147" s="24">
        <v>0</v>
      </c>
      <c r="K2147" s="25" t="s">
        <v>2969</v>
      </c>
    </row>
    <row r="2148" spans="1:11" s="85" customFormat="1" ht="44.25" customHeight="1" x14ac:dyDescent="0.3">
      <c r="A2148" s="136">
        <v>1813</v>
      </c>
      <c r="B2148" s="197"/>
      <c r="C2148" s="25" t="s">
        <v>2981</v>
      </c>
      <c r="D2148" s="188" t="s">
        <v>49</v>
      </c>
      <c r="E2148" s="16" t="s">
        <v>1945</v>
      </c>
      <c r="F2148" s="24">
        <f>1611840/1000</f>
        <v>1611.84</v>
      </c>
      <c r="G2148" s="23">
        <f>1474944/1000</f>
        <v>1474.944</v>
      </c>
      <c r="H2148" s="23">
        <f>136896/1000</f>
        <v>136.89599999999999</v>
      </c>
      <c r="I2148" s="131">
        <v>0</v>
      </c>
      <c r="J2148" s="24">
        <v>0</v>
      </c>
      <c r="K2148" s="25" t="s">
        <v>2964</v>
      </c>
    </row>
    <row r="2149" spans="1:11" s="85" customFormat="1" ht="50.25" customHeight="1" x14ac:dyDescent="0.3">
      <c r="A2149" s="136">
        <v>1814</v>
      </c>
      <c r="B2149" s="197"/>
      <c r="C2149" s="25" t="s">
        <v>2982</v>
      </c>
      <c r="D2149" s="188" t="s">
        <v>2957</v>
      </c>
      <c r="E2149" s="16" t="s">
        <v>1945</v>
      </c>
      <c r="F2149" s="23">
        <f>1988000.04/1000</f>
        <v>1988.0000400000001</v>
      </c>
      <c r="G2149" s="23">
        <f>F2149</f>
        <v>1988.0000400000001</v>
      </c>
      <c r="H2149" s="131">
        <v>0</v>
      </c>
      <c r="I2149" s="131">
        <v>0</v>
      </c>
      <c r="J2149" s="24">
        <v>0</v>
      </c>
      <c r="K2149" s="25" t="s">
        <v>2964</v>
      </c>
    </row>
    <row r="2150" spans="1:11" s="85" customFormat="1" ht="117" customHeight="1" x14ac:dyDescent="0.3">
      <c r="A2150" s="136">
        <v>1815</v>
      </c>
      <c r="B2150" s="197"/>
      <c r="C2150" s="25" t="s">
        <v>2983</v>
      </c>
      <c r="D2150" s="188" t="s">
        <v>2959</v>
      </c>
      <c r="E2150" s="16" t="s">
        <v>1945</v>
      </c>
      <c r="F2150" s="23">
        <f>2008455.2/1000</f>
        <v>2008.4551999999999</v>
      </c>
      <c r="G2150" s="23">
        <f>2008455.2/1000</f>
        <v>2008.4551999999999</v>
      </c>
      <c r="H2150" s="131">
        <v>0</v>
      </c>
      <c r="I2150" s="131">
        <v>0</v>
      </c>
      <c r="J2150" s="24">
        <v>0</v>
      </c>
      <c r="K2150" s="25" t="s">
        <v>2964</v>
      </c>
    </row>
    <row r="2151" spans="1:11" s="85" customFormat="1" ht="48.75" customHeight="1" x14ac:dyDescent="0.3">
      <c r="A2151" s="136">
        <v>1816</v>
      </c>
      <c r="B2151" s="197"/>
      <c r="C2151" s="25" t="s">
        <v>2984</v>
      </c>
      <c r="D2151" s="188" t="s">
        <v>1355</v>
      </c>
      <c r="E2151" s="16" t="s">
        <v>1945</v>
      </c>
      <c r="F2151" s="23">
        <f>2323148/1000</f>
        <v>2323.1480000000001</v>
      </c>
      <c r="G2151" s="23">
        <f>2109776/1000</f>
        <v>2109.7759999999998</v>
      </c>
      <c r="H2151" s="23">
        <f>213372/1000</f>
        <v>213.37200000000001</v>
      </c>
      <c r="I2151" s="131">
        <v>0</v>
      </c>
      <c r="J2151" s="24">
        <v>0</v>
      </c>
      <c r="K2151" s="25" t="s">
        <v>2964</v>
      </c>
    </row>
    <row r="2152" spans="1:11" s="85" customFormat="1" ht="39.9" customHeight="1" x14ac:dyDescent="0.3">
      <c r="A2152" s="136">
        <v>1817</v>
      </c>
      <c r="B2152" s="197"/>
      <c r="C2152" s="25" t="s">
        <v>2985</v>
      </c>
      <c r="D2152" s="188" t="s">
        <v>2962</v>
      </c>
      <c r="E2152" s="16" t="s">
        <v>1945</v>
      </c>
      <c r="F2152" s="23">
        <f>11456624.16/1000</f>
        <v>11456.624159999999</v>
      </c>
      <c r="G2152" s="23">
        <f>F2152</f>
        <v>11456.624159999999</v>
      </c>
      <c r="H2152" s="131">
        <v>0</v>
      </c>
      <c r="I2152" s="131">
        <v>0</v>
      </c>
      <c r="J2152" s="24">
        <v>0</v>
      </c>
      <c r="K2152" s="25" t="s">
        <v>2986</v>
      </c>
    </row>
    <row r="2153" spans="1:11" s="85" customFormat="1" ht="19.2" customHeight="1" x14ac:dyDescent="0.3">
      <c r="A2153" s="245" t="s">
        <v>2924</v>
      </c>
      <c r="B2153" s="245"/>
      <c r="C2153" s="245"/>
      <c r="D2153" s="245"/>
      <c r="E2153" s="245"/>
      <c r="F2153" s="23"/>
      <c r="G2153" s="28">
        <f>SUM(G2133:G2152)</f>
        <v>22872.147279999997</v>
      </c>
      <c r="H2153" s="28">
        <f>SUM(H2133:H2152)</f>
        <v>518.74592000000007</v>
      </c>
      <c r="I2153" s="131">
        <v>0</v>
      </c>
      <c r="J2153" s="24">
        <v>0</v>
      </c>
      <c r="K2153" s="136"/>
    </row>
    <row r="2154" spans="1:11" s="85" customFormat="1" ht="89.4" customHeight="1" x14ac:dyDescent="0.3">
      <c r="A2154" s="167">
        <v>1818</v>
      </c>
      <c r="B2154" s="169" t="s">
        <v>3157</v>
      </c>
      <c r="C2154" s="193" t="s">
        <v>3158</v>
      </c>
      <c r="D2154" s="192" t="s">
        <v>3159</v>
      </c>
      <c r="E2154" s="16" t="s">
        <v>1945</v>
      </c>
      <c r="F2154" s="170">
        <v>19379.675999999999</v>
      </c>
      <c r="G2154" s="170">
        <v>19379.675999999999</v>
      </c>
      <c r="H2154" s="131">
        <v>0</v>
      </c>
      <c r="I2154" s="131">
        <v>0</v>
      </c>
      <c r="J2154" s="24">
        <v>0</v>
      </c>
      <c r="K2154" s="187" t="s">
        <v>3160</v>
      </c>
    </row>
    <row r="2155" spans="1:11" s="85" customFormat="1" ht="58.8" customHeight="1" x14ac:dyDescent="0.3">
      <c r="A2155" s="167">
        <v>1819</v>
      </c>
      <c r="B2155" s="171" t="s">
        <v>3161</v>
      </c>
      <c r="C2155" s="172" t="s">
        <v>3162</v>
      </c>
      <c r="D2155" s="173" t="s">
        <v>3163</v>
      </c>
      <c r="E2155" s="174" t="s">
        <v>271</v>
      </c>
      <c r="F2155" s="175">
        <v>272</v>
      </c>
      <c r="G2155" s="176">
        <v>272</v>
      </c>
      <c r="H2155" s="131">
        <v>0</v>
      </c>
      <c r="I2155" s="131">
        <v>0</v>
      </c>
      <c r="J2155" s="24">
        <v>0</v>
      </c>
      <c r="K2155" s="177" t="s">
        <v>1179</v>
      </c>
    </row>
    <row r="2156" spans="1:11" s="85" customFormat="1" ht="84" customHeight="1" x14ac:dyDescent="0.3">
      <c r="A2156" s="167">
        <v>1820</v>
      </c>
      <c r="B2156" s="178" t="s">
        <v>3164</v>
      </c>
      <c r="C2156" s="172" t="s">
        <v>3162</v>
      </c>
      <c r="D2156" s="179" t="s">
        <v>3165</v>
      </c>
      <c r="E2156" s="174" t="s">
        <v>271</v>
      </c>
      <c r="F2156" s="175">
        <v>170</v>
      </c>
      <c r="G2156" s="176">
        <v>170</v>
      </c>
      <c r="H2156" s="131">
        <v>0</v>
      </c>
      <c r="I2156" s="131">
        <v>0</v>
      </c>
      <c r="J2156" s="24">
        <v>0</v>
      </c>
      <c r="K2156" s="177" t="s">
        <v>114</v>
      </c>
    </row>
    <row r="2157" spans="1:11" s="85" customFormat="1" ht="19.5" customHeight="1" x14ac:dyDescent="0.3">
      <c r="A2157" s="269" t="s">
        <v>3167</v>
      </c>
      <c r="B2157" s="270"/>
      <c r="C2157" s="270"/>
      <c r="D2157" s="270"/>
      <c r="E2157" s="271"/>
      <c r="F2157" s="180">
        <f>SUM(F2154:F2155)</f>
        <v>19651.675999999999</v>
      </c>
      <c r="G2157" s="181">
        <f>SUM(G2154:G2155)</f>
        <v>19651.675999999999</v>
      </c>
      <c r="H2157" s="131">
        <v>0</v>
      </c>
      <c r="I2157" s="131">
        <v>0</v>
      </c>
      <c r="J2157" s="24">
        <v>0</v>
      </c>
      <c r="K2157" s="182"/>
    </row>
    <row r="2158" spans="1:11" s="85" customFormat="1" ht="58.8" customHeight="1" x14ac:dyDescent="0.3">
      <c r="A2158" s="167">
        <v>1821</v>
      </c>
      <c r="B2158" s="171" t="s">
        <v>3161</v>
      </c>
      <c r="C2158" s="172" t="s">
        <v>3166</v>
      </c>
      <c r="D2158" s="173" t="s">
        <v>3163</v>
      </c>
      <c r="E2158" s="174" t="s">
        <v>2013</v>
      </c>
      <c r="F2158" s="183">
        <v>272</v>
      </c>
      <c r="G2158" s="184">
        <v>272</v>
      </c>
      <c r="H2158" s="131">
        <v>0</v>
      </c>
      <c r="I2158" s="131">
        <v>0</v>
      </c>
      <c r="J2158" s="24">
        <v>0</v>
      </c>
      <c r="K2158" s="185" t="s">
        <v>1179</v>
      </c>
    </row>
    <row r="2159" spans="1:11" s="85" customFormat="1" ht="15" customHeight="1" x14ac:dyDescent="0.3">
      <c r="A2159" s="272" t="s">
        <v>3168</v>
      </c>
      <c r="B2159" s="273"/>
      <c r="C2159" s="273"/>
      <c r="D2159" s="273"/>
      <c r="E2159" s="274"/>
      <c r="F2159" s="180">
        <f>SUM(F2158:F2158)</f>
        <v>272</v>
      </c>
      <c r="G2159" s="181">
        <f>SUM(G2158:G2158)</f>
        <v>272</v>
      </c>
      <c r="H2159" s="131">
        <v>0</v>
      </c>
      <c r="I2159" s="131">
        <v>0</v>
      </c>
      <c r="J2159" s="24">
        <v>0</v>
      </c>
      <c r="K2159" s="186"/>
    </row>
    <row r="2160" spans="1:11" s="160" customFormat="1" ht="57" customHeight="1" x14ac:dyDescent="0.3">
      <c r="A2160" s="45">
        <v>1822</v>
      </c>
      <c r="B2160" s="142" t="s">
        <v>2995</v>
      </c>
      <c r="C2160" s="153" t="s">
        <v>2996</v>
      </c>
      <c r="D2160" s="142" t="s">
        <v>2997</v>
      </c>
      <c r="E2160" s="142" t="s">
        <v>2998</v>
      </c>
      <c r="F2160" s="78">
        <v>937</v>
      </c>
      <c r="G2160" s="78">
        <v>937</v>
      </c>
      <c r="H2160" s="131">
        <v>0</v>
      </c>
      <c r="I2160" s="131">
        <v>0</v>
      </c>
      <c r="J2160" s="24">
        <v>0</v>
      </c>
      <c r="K2160" s="159">
        <v>44713</v>
      </c>
    </row>
    <row r="2161" spans="1:11" s="160" customFormat="1" ht="16.2" customHeight="1" x14ac:dyDescent="0.3">
      <c r="A2161" s="194" t="s">
        <v>57</v>
      </c>
      <c r="B2161" s="194"/>
      <c r="C2161" s="194"/>
      <c r="D2161" s="194"/>
      <c r="E2161" s="161"/>
      <c r="F2161" s="79">
        <f>SUM(F2160)</f>
        <v>937</v>
      </c>
      <c r="G2161" s="79">
        <f>SUM(G2160)</f>
        <v>937</v>
      </c>
      <c r="H2161" s="131">
        <v>0</v>
      </c>
      <c r="I2161" s="131">
        <v>0</v>
      </c>
      <c r="J2161" s="24">
        <v>0</v>
      </c>
      <c r="K2161" s="162"/>
    </row>
    <row r="2162" spans="1:11" s="160" customFormat="1" ht="48.6" customHeight="1" x14ac:dyDescent="0.3">
      <c r="A2162" s="45">
        <v>1823</v>
      </c>
      <c r="B2162" s="142" t="s">
        <v>2995</v>
      </c>
      <c r="C2162" s="153" t="s">
        <v>2999</v>
      </c>
      <c r="D2162" s="142" t="s">
        <v>2997</v>
      </c>
      <c r="E2162" s="142" t="s">
        <v>2998</v>
      </c>
      <c r="F2162" s="78">
        <v>937</v>
      </c>
      <c r="G2162" s="131">
        <v>0</v>
      </c>
      <c r="H2162" s="78">
        <v>937</v>
      </c>
      <c r="I2162" s="131">
        <v>0</v>
      </c>
      <c r="J2162" s="24">
        <v>0</v>
      </c>
      <c r="K2162" s="159">
        <v>45078</v>
      </c>
    </row>
    <row r="2163" spans="1:11" s="160" customFormat="1" ht="20.399999999999999" customHeight="1" x14ac:dyDescent="0.3">
      <c r="A2163" s="194" t="s">
        <v>3001</v>
      </c>
      <c r="B2163" s="194"/>
      <c r="C2163" s="194"/>
      <c r="D2163" s="194"/>
      <c r="E2163" s="161"/>
      <c r="F2163" s="79">
        <f>SUM(F2162)</f>
        <v>937</v>
      </c>
      <c r="G2163" s="131">
        <v>0</v>
      </c>
      <c r="H2163" s="79">
        <f>SUM(H2162)</f>
        <v>937</v>
      </c>
      <c r="I2163" s="131">
        <v>0</v>
      </c>
      <c r="J2163" s="24">
        <v>0</v>
      </c>
      <c r="K2163" s="161"/>
    </row>
    <row r="2164" spans="1:11" s="160" customFormat="1" ht="54.75" customHeight="1" x14ac:dyDescent="0.3">
      <c r="A2164" s="45">
        <v>1824</v>
      </c>
      <c r="B2164" s="142" t="s">
        <v>2995</v>
      </c>
      <c r="C2164" s="153" t="s">
        <v>3000</v>
      </c>
      <c r="D2164" s="142" t="s">
        <v>2997</v>
      </c>
      <c r="E2164" s="142" t="s">
        <v>2998</v>
      </c>
      <c r="F2164" s="78">
        <v>937</v>
      </c>
      <c r="G2164" s="131">
        <v>0</v>
      </c>
      <c r="H2164" s="131">
        <v>0</v>
      </c>
      <c r="I2164" s="78">
        <v>937</v>
      </c>
      <c r="J2164" s="24">
        <v>0</v>
      </c>
      <c r="K2164" s="159">
        <v>45444</v>
      </c>
    </row>
    <row r="2165" spans="1:11" s="160" customFormat="1" ht="16.2" customHeight="1" x14ac:dyDescent="0.3">
      <c r="A2165" s="194" t="s">
        <v>3002</v>
      </c>
      <c r="B2165" s="194"/>
      <c r="C2165" s="194"/>
      <c r="D2165" s="194"/>
      <c r="E2165" s="161"/>
      <c r="F2165" s="79">
        <f>SUM(F2164)</f>
        <v>937</v>
      </c>
      <c r="G2165" s="131">
        <v>0</v>
      </c>
      <c r="H2165" s="131">
        <v>0</v>
      </c>
      <c r="I2165" s="79">
        <f>SUM(I2164)</f>
        <v>937</v>
      </c>
      <c r="J2165" s="24">
        <v>0</v>
      </c>
      <c r="K2165" s="161"/>
    </row>
    <row r="2166" spans="1:11" s="164" customFormat="1" ht="68.400000000000006" customHeight="1" x14ac:dyDescent="0.3">
      <c r="A2166" s="138" t="s">
        <v>3103</v>
      </c>
      <c r="B2166" s="268" t="s">
        <v>3003</v>
      </c>
      <c r="C2166" s="138" t="s">
        <v>3004</v>
      </c>
      <c r="D2166" s="138" t="s">
        <v>3005</v>
      </c>
      <c r="E2166" s="138" t="s">
        <v>21</v>
      </c>
      <c r="F2166" s="111">
        <v>69</v>
      </c>
      <c r="G2166" s="111">
        <v>69</v>
      </c>
      <c r="H2166" s="131">
        <v>0</v>
      </c>
      <c r="I2166" s="24">
        <v>0</v>
      </c>
      <c r="J2166" s="24">
        <v>0</v>
      </c>
      <c r="K2166" s="163" t="s">
        <v>3006</v>
      </c>
    </row>
    <row r="2167" spans="1:11" s="164" customFormat="1" ht="83.4" customHeight="1" x14ac:dyDescent="0.3">
      <c r="A2167" s="138" t="s">
        <v>3104</v>
      </c>
      <c r="B2167" s="246"/>
      <c r="C2167" s="138" t="s">
        <v>3007</v>
      </c>
      <c r="D2167" s="138" t="s">
        <v>3008</v>
      </c>
      <c r="E2167" s="138" t="s">
        <v>21</v>
      </c>
      <c r="F2167" s="111">
        <f>54050/1000</f>
        <v>54.05</v>
      </c>
      <c r="G2167" s="111">
        <f>54050/1000</f>
        <v>54.05</v>
      </c>
      <c r="H2167" s="131">
        <v>0</v>
      </c>
      <c r="I2167" s="24">
        <v>0</v>
      </c>
      <c r="J2167" s="24">
        <v>0</v>
      </c>
      <c r="K2167" s="163" t="s">
        <v>3009</v>
      </c>
    </row>
    <row r="2168" spans="1:11" s="164" customFormat="1" ht="82.8" customHeight="1" x14ac:dyDescent="0.3">
      <c r="A2168" s="138" t="s">
        <v>3105</v>
      </c>
      <c r="B2168" s="246"/>
      <c r="C2168" s="138" t="s">
        <v>3010</v>
      </c>
      <c r="D2168" s="138" t="s">
        <v>3011</v>
      </c>
      <c r="E2168" s="138" t="s">
        <v>21</v>
      </c>
      <c r="F2168" s="111">
        <v>90</v>
      </c>
      <c r="G2168" s="111">
        <v>90</v>
      </c>
      <c r="H2168" s="131">
        <v>0</v>
      </c>
      <c r="I2168" s="24">
        <v>0</v>
      </c>
      <c r="J2168" s="24">
        <v>0</v>
      </c>
      <c r="K2168" s="163" t="s">
        <v>3009</v>
      </c>
    </row>
    <row r="2169" spans="1:11" s="164" customFormat="1" ht="78.599999999999994" customHeight="1" x14ac:dyDescent="0.3">
      <c r="A2169" s="168" t="s">
        <v>3106</v>
      </c>
      <c r="B2169" s="246"/>
      <c r="C2169" s="138" t="s">
        <v>3012</v>
      </c>
      <c r="D2169" s="138" t="s">
        <v>3013</v>
      </c>
      <c r="E2169" s="138" t="s">
        <v>21</v>
      </c>
      <c r="F2169" s="111">
        <v>35</v>
      </c>
      <c r="G2169" s="111">
        <v>35</v>
      </c>
      <c r="H2169" s="131">
        <v>0</v>
      </c>
      <c r="I2169" s="24">
        <v>0</v>
      </c>
      <c r="J2169" s="24">
        <v>0</v>
      </c>
      <c r="K2169" s="163" t="s">
        <v>3006</v>
      </c>
    </row>
    <row r="2170" spans="1:11" s="164" customFormat="1" ht="78.599999999999994" customHeight="1" x14ac:dyDescent="0.3">
      <c r="A2170" s="168" t="s">
        <v>3107</v>
      </c>
      <c r="B2170" s="246"/>
      <c r="C2170" s="138" t="s">
        <v>3014</v>
      </c>
      <c r="D2170" s="138" t="s">
        <v>3015</v>
      </c>
      <c r="E2170" s="138" t="s">
        <v>21</v>
      </c>
      <c r="F2170" s="111">
        <v>90</v>
      </c>
      <c r="G2170" s="111">
        <v>90</v>
      </c>
      <c r="H2170" s="131">
        <v>0</v>
      </c>
      <c r="I2170" s="24">
        <v>0</v>
      </c>
      <c r="J2170" s="24">
        <v>0</v>
      </c>
      <c r="K2170" s="163" t="s">
        <v>114</v>
      </c>
    </row>
    <row r="2171" spans="1:11" s="164" customFormat="1" ht="78.599999999999994" customHeight="1" x14ac:dyDescent="0.3">
      <c r="A2171" s="168" t="s">
        <v>3108</v>
      </c>
      <c r="B2171" s="246"/>
      <c r="C2171" s="138" t="s">
        <v>3016</v>
      </c>
      <c r="D2171" s="138" t="s">
        <v>3017</v>
      </c>
      <c r="E2171" s="138" t="s">
        <v>21</v>
      </c>
      <c r="F2171" s="111">
        <v>17.5</v>
      </c>
      <c r="G2171" s="111">
        <v>17.5</v>
      </c>
      <c r="H2171" s="131">
        <v>0</v>
      </c>
      <c r="I2171" s="24">
        <v>0</v>
      </c>
      <c r="J2171" s="24">
        <v>0</v>
      </c>
      <c r="K2171" s="163" t="s">
        <v>3006</v>
      </c>
    </row>
    <row r="2172" spans="1:11" s="164" customFormat="1" ht="116.4" customHeight="1" x14ac:dyDescent="0.3">
      <c r="A2172" s="168" t="s">
        <v>3109</v>
      </c>
      <c r="B2172" s="246"/>
      <c r="C2172" s="138" t="s">
        <v>3018</v>
      </c>
      <c r="D2172" s="138" t="s">
        <v>3019</v>
      </c>
      <c r="E2172" s="138" t="s">
        <v>21</v>
      </c>
      <c r="F2172" s="111">
        <v>80</v>
      </c>
      <c r="G2172" s="111">
        <v>80</v>
      </c>
      <c r="H2172" s="131">
        <v>0</v>
      </c>
      <c r="I2172" s="24">
        <v>0</v>
      </c>
      <c r="J2172" s="24">
        <v>0</v>
      </c>
      <c r="K2172" s="163" t="s">
        <v>3020</v>
      </c>
    </row>
    <row r="2173" spans="1:11" s="164" customFormat="1" ht="78.599999999999994" customHeight="1" x14ac:dyDescent="0.3">
      <c r="A2173" s="168" t="s">
        <v>3110</v>
      </c>
      <c r="B2173" s="246"/>
      <c r="C2173" s="138" t="s">
        <v>3021</v>
      </c>
      <c r="D2173" s="138" t="s">
        <v>3022</v>
      </c>
      <c r="E2173" s="138" t="s">
        <v>21</v>
      </c>
      <c r="F2173" s="111">
        <v>358</v>
      </c>
      <c r="G2173" s="131">
        <v>0</v>
      </c>
      <c r="H2173" s="111">
        <v>358</v>
      </c>
      <c r="I2173" s="24">
        <v>0</v>
      </c>
      <c r="J2173" s="24">
        <v>0</v>
      </c>
      <c r="K2173" s="25" t="s">
        <v>3023</v>
      </c>
    </row>
    <row r="2174" spans="1:11" s="164" customFormat="1" ht="78.599999999999994" customHeight="1" x14ac:dyDescent="0.3">
      <c r="A2174" s="168" t="s">
        <v>3111</v>
      </c>
      <c r="B2174" s="246"/>
      <c r="C2174" s="138" t="s">
        <v>3024</v>
      </c>
      <c r="D2174" s="138" t="s">
        <v>3025</v>
      </c>
      <c r="E2174" s="138" t="s">
        <v>21</v>
      </c>
      <c r="F2174" s="111">
        <v>75</v>
      </c>
      <c r="G2174" s="111">
        <v>75</v>
      </c>
      <c r="H2174" s="24">
        <v>0</v>
      </c>
      <c r="I2174" s="24">
        <v>0</v>
      </c>
      <c r="J2174" s="24">
        <v>0</v>
      </c>
      <c r="K2174" s="163" t="s">
        <v>3020</v>
      </c>
    </row>
    <row r="2175" spans="1:11" s="164" customFormat="1" ht="78.599999999999994" customHeight="1" x14ac:dyDescent="0.3">
      <c r="A2175" s="168" t="s">
        <v>3112</v>
      </c>
      <c r="B2175" s="246"/>
      <c r="C2175" s="138" t="s">
        <v>3026</v>
      </c>
      <c r="D2175" s="138" t="s">
        <v>3027</v>
      </c>
      <c r="E2175" s="138" t="s">
        <v>21</v>
      </c>
      <c r="F2175" s="111">
        <v>53</v>
      </c>
      <c r="G2175" s="111">
        <v>53</v>
      </c>
      <c r="H2175" s="24">
        <v>0</v>
      </c>
      <c r="I2175" s="24">
        <v>0</v>
      </c>
      <c r="J2175" s="24">
        <v>0</v>
      </c>
      <c r="K2175" s="163" t="s">
        <v>111</v>
      </c>
    </row>
    <row r="2176" spans="1:11" s="164" customFormat="1" ht="91.8" customHeight="1" x14ac:dyDescent="0.3">
      <c r="A2176" s="168" t="s">
        <v>3113</v>
      </c>
      <c r="B2176" s="246"/>
      <c r="C2176" s="138" t="s">
        <v>3028</v>
      </c>
      <c r="D2176" s="138" t="s">
        <v>3029</v>
      </c>
      <c r="E2176" s="138" t="s">
        <v>21</v>
      </c>
      <c r="F2176" s="111">
        <v>400</v>
      </c>
      <c r="G2176" s="111">
        <v>400</v>
      </c>
      <c r="H2176" s="24">
        <v>0</v>
      </c>
      <c r="I2176" s="24">
        <v>0</v>
      </c>
      <c r="J2176" s="24">
        <v>0</v>
      </c>
      <c r="K2176" s="163" t="s">
        <v>69</v>
      </c>
    </row>
    <row r="2177" spans="1:11" s="164" customFormat="1" ht="108" customHeight="1" x14ac:dyDescent="0.3">
      <c r="A2177" s="168" t="s">
        <v>3114</v>
      </c>
      <c r="B2177" s="246"/>
      <c r="C2177" s="138" t="s">
        <v>3030</v>
      </c>
      <c r="D2177" s="138" t="s">
        <v>3031</v>
      </c>
      <c r="E2177" s="138" t="s">
        <v>21</v>
      </c>
      <c r="F2177" s="111">
        <v>400</v>
      </c>
      <c r="G2177" s="111">
        <v>400</v>
      </c>
      <c r="H2177" s="24">
        <v>0</v>
      </c>
      <c r="I2177" s="24">
        <v>0</v>
      </c>
      <c r="J2177" s="24">
        <v>0</v>
      </c>
      <c r="K2177" s="163" t="s">
        <v>2676</v>
      </c>
    </row>
    <row r="2178" spans="1:11" s="164" customFormat="1" ht="102" customHeight="1" x14ac:dyDescent="0.3">
      <c r="A2178" s="168" t="s">
        <v>3115</v>
      </c>
      <c r="B2178" s="246"/>
      <c r="C2178" s="138" t="s">
        <v>3032</v>
      </c>
      <c r="D2178" s="138" t="s">
        <v>3031</v>
      </c>
      <c r="E2178" s="138" t="s">
        <v>21</v>
      </c>
      <c r="F2178" s="111">
        <v>500</v>
      </c>
      <c r="G2178" s="111">
        <v>500</v>
      </c>
      <c r="H2178" s="24">
        <v>0</v>
      </c>
      <c r="I2178" s="24">
        <v>0</v>
      </c>
      <c r="J2178" s="24">
        <v>0</v>
      </c>
      <c r="K2178" s="163" t="s">
        <v>2676</v>
      </c>
    </row>
    <row r="2179" spans="1:11" s="164" customFormat="1" ht="78.599999999999994" customHeight="1" x14ac:dyDescent="0.3">
      <c r="A2179" s="168" t="s">
        <v>3116</v>
      </c>
      <c r="B2179" s="246"/>
      <c r="C2179" s="138" t="s">
        <v>3033</v>
      </c>
      <c r="D2179" s="138" t="s">
        <v>3034</v>
      </c>
      <c r="E2179" s="138" t="s">
        <v>3035</v>
      </c>
      <c r="F2179" s="111">
        <v>500</v>
      </c>
      <c r="G2179" s="111">
        <v>500</v>
      </c>
      <c r="H2179" s="24">
        <v>0</v>
      </c>
      <c r="I2179" s="24">
        <v>0</v>
      </c>
      <c r="J2179" s="24">
        <v>0</v>
      </c>
      <c r="K2179" s="163" t="s">
        <v>69</v>
      </c>
    </row>
    <row r="2180" spans="1:11" s="164" customFormat="1" ht="78.599999999999994" customHeight="1" x14ac:dyDescent="0.3">
      <c r="A2180" s="168" t="s">
        <v>3117</v>
      </c>
      <c r="B2180" s="246"/>
      <c r="C2180" s="138" t="s">
        <v>3036</v>
      </c>
      <c r="D2180" s="138" t="s">
        <v>3034</v>
      </c>
      <c r="E2180" s="138" t="s">
        <v>21</v>
      </c>
      <c r="F2180" s="111">
        <v>232</v>
      </c>
      <c r="G2180" s="111">
        <v>232</v>
      </c>
      <c r="H2180" s="24">
        <v>0</v>
      </c>
      <c r="I2180" s="24">
        <v>0</v>
      </c>
      <c r="J2180" s="24">
        <v>0</v>
      </c>
      <c r="K2180" s="163" t="s">
        <v>72</v>
      </c>
    </row>
    <row r="2181" spans="1:11" s="164" customFormat="1" ht="95.4" customHeight="1" x14ac:dyDescent="0.3">
      <c r="A2181" s="168" t="s">
        <v>3118</v>
      </c>
      <c r="B2181" s="246"/>
      <c r="C2181" s="138" t="s">
        <v>3037</v>
      </c>
      <c r="D2181" s="138" t="s">
        <v>3038</v>
      </c>
      <c r="E2181" s="138" t="s">
        <v>21</v>
      </c>
      <c r="F2181" s="111">
        <v>2340</v>
      </c>
      <c r="G2181" s="24">
        <v>0</v>
      </c>
      <c r="H2181" s="111">
        <v>2340</v>
      </c>
      <c r="I2181" s="24">
        <v>0</v>
      </c>
      <c r="J2181" s="24">
        <v>0</v>
      </c>
      <c r="K2181" s="163" t="s">
        <v>114</v>
      </c>
    </row>
    <row r="2182" spans="1:11" s="164" customFormat="1" ht="78.599999999999994" customHeight="1" x14ac:dyDescent="0.3">
      <c r="A2182" s="168" t="s">
        <v>3119</v>
      </c>
      <c r="B2182" s="246"/>
      <c r="C2182" s="138" t="s">
        <v>3039</v>
      </c>
      <c r="D2182" s="138" t="s">
        <v>3040</v>
      </c>
      <c r="E2182" s="138" t="s">
        <v>21</v>
      </c>
      <c r="F2182" s="111">
        <v>500</v>
      </c>
      <c r="G2182" s="24"/>
      <c r="H2182" s="111">
        <v>500</v>
      </c>
      <c r="I2182" s="24">
        <v>0</v>
      </c>
      <c r="J2182" s="24">
        <v>0</v>
      </c>
      <c r="K2182" s="163" t="s">
        <v>114</v>
      </c>
    </row>
    <row r="2183" spans="1:11" s="164" customFormat="1" ht="108" customHeight="1" x14ac:dyDescent="0.3">
      <c r="A2183" s="168" t="s">
        <v>3120</v>
      </c>
      <c r="B2183" s="246"/>
      <c r="C2183" s="138" t="s">
        <v>3041</v>
      </c>
      <c r="D2183" s="138" t="s">
        <v>3042</v>
      </c>
      <c r="E2183" s="138" t="s">
        <v>21</v>
      </c>
      <c r="F2183" s="111">
        <v>500</v>
      </c>
      <c r="G2183" s="24"/>
      <c r="H2183" s="111">
        <v>500</v>
      </c>
      <c r="I2183" s="24">
        <v>0</v>
      </c>
      <c r="J2183" s="24">
        <v>0</v>
      </c>
      <c r="K2183" s="163" t="s">
        <v>111</v>
      </c>
    </row>
    <row r="2184" spans="1:11" s="164" customFormat="1" ht="101.4" customHeight="1" x14ac:dyDescent="0.3">
      <c r="A2184" s="168" t="s">
        <v>3121</v>
      </c>
      <c r="B2184" s="246"/>
      <c r="C2184" s="138" t="s">
        <v>3043</v>
      </c>
      <c r="D2184" s="138" t="s">
        <v>3044</v>
      </c>
      <c r="E2184" s="138" t="s">
        <v>21</v>
      </c>
      <c r="F2184" s="111">
        <v>1300</v>
      </c>
      <c r="G2184" s="24">
        <v>0</v>
      </c>
      <c r="H2184" s="111">
        <v>1300</v>
      </c>
      <c r="I2184" s="24">
        <v>0</v>
      </c>
      <c r="J2184" s="24">
        <v>0</v>
      </c>
      <c r="K2184" s="163" t="s">
        <v>111</v>
      </c>
    </row>
    <row r="2185" spans="1:11" s="164" customFormat="1" ht="78.599999999999994" customHeight="1" x14ac:dyDescent="0.3">
      <c r="A2185" s="168" t="s">
        <v>3122</v>
      </c>
      <c r="B2185" s="246"/>
      <c r="C2185" s="138" t="s">
        <v>3045</v>
      </c>
      <c r="D2185" s="138" t="s">
        <v>3044</v>
      </c>
      <c r="E2185" s="138" t="s">
        <v>21</v>
      </c>
      <c r="F2185" s="111">
        <v>400</v>
      </c>
      <c r="G2185" s="24">
        <v>0</v>
      </c>
      <c r="H2185" s="111">
        <v>400</v>
      </c>
      <c r="I2185" s="24">
        <v>0</v>
      </c>
      <c r="J2185" s="24">
        <v>0</v>
      </c>
      <c r="K2185" s="163" t="s">
        <v>111</v>
      </c>
    </row>
    <row r="2186" spans="1:11" s="164" customFormat="1" ht="78.599999999999994" customHeight="1" x14ac:dyDescent="0.3">
      <c r="A2186" s="168" t="s">
        <v>3123</v>
      </c>
      <c r="B2186" s="246"/>
      <c r="C2186" s="138" t="s">
        <v>3046</v>
      </c>
      <c r="D2186" s="138" t="s">
        <v>3047</v>
      </c>
      <c r="E2186" s="138" t="s">
        <v>21</v>
      </c>
      <c r="F2186" s="111">
        <f>215260.67/1000</f>
        <v>215.26067</v>
      </c>
      <c r="G2186" s="24">
        <v>0</v>
      </c>
      <c r="H2186" s="111">
        <f>215260.67/1000</f>
        <v>215.26067</v>
      </c>
      <c r="I2186" s="24">
        <v>0</v>
      </c>
      <c r="J2186" s="24">
        <v>0</v>
      </c>
      <c r="K2186" s="163" t="s">
        <v>1179</v>
      </c>
    </row>
    <row r="2187" spans="1:11" s="164" customFormat="1" ht="103.2" customHeight="1" x14ac:dyDescent="0.3">
      <c r="A2187" s="168" t="s">
        <v>3124</v>
      </c>
      <c r="B2187" s="246"/>
      <c r="C2187" s="138" t="s">
        <v>3048</v>
      </c>
      <c r="D2187" s="138" t="s">
        <v>3038</v>
      </c>
      <c r="E2187" s="138" t="s">
        <v>21</v>
      </c>
      <c r="F2187" s="111">
        <v>1428</v>
      </c>
      <c r="G2187" s="24">
        <v>0</v>
      </c>
      <c r="H2187" s="111">
        <v>1428</v>
      </c>
      <c r="I2187" s="24">
        <v>0</v>
      </c>
      <c r="J2187" s="24">
        <v>0</v>
      </c>
      <c r="K2187" s="163" t="s">
        <v>1179</v>
      </c>
    </row>
    <row r="2188" spans="1:11" s="164" customFormat="1" ht="78.599999999999994" customHeight="1" x14ac:dyDescent="0.3">
      <c r="A2188" s="168" t="s">
        <v>3125</v>
      </c>
      <c r="B2188" s="246"/>
      <c r="C2188" s="138" t="s">
        <v>3049</v>
      </c>
      <c r="D2188" s="138" t="s">
        <v>3044</v>
      </c>
      <c r="E2188" s="138" t="s">
        <v>21</v>
      </c>
      <c r="F2188" s="111">
        <v>400</v>
      </c>
      <c r="G2188" s="24">
        <v>0</v>
      </c>
      <c r="H2188" s="111">
        <v>400</v>
      </c>
      <c r="I2188" s="24">
        <v>0</v>
      </c>
      <c r="J2188" s="24">
        <v>0</v>
      </c>
      <c r="K2188" s="163" t="s">
        <v>2758</v>
      </c>
    </row>
    <row r="2189" spans="1:11" s="164" customFormat="1" ht="118.2" customHeight="1" x14ac:dyDescent="0.3">
      <c r="A2189" s="168" t="s">
        <v>3126</v>
      </c>
      <c r="B2189" s="246"/>
      <c r="C2189" s="138" t="s">
        <v>3050</v>
      </c>
      <c r="D2189" s="138" t="s">
        <v>3042</v>
      </c>
      <c r="E2189" s="138" t="s">
        <v>21</v>
      </c>
      <c r="F2189" s="111">
        <v>500</v>
      </c>
      <c r="G2189" s="24">
        <v>0</v>
      </c>
      <c r="H2189" s="111">
        <v>500</v>
      </c>
      <c r="I2189" s="24">
        <v>0</v>
      </c>
      <c r="J2189" s="24">
        <v>0</v>
      </c>
      <c r="K2189" s="163" t="s">
        <v>2758</v>
      </c>
    </row>
    <row r="2190" spans="1:11" s="164" customFormat="1" ht="95.25" customHeight="1" x14ac:dyDescent="0.3">
      <c r="A2190" s="168" t="s">
        <v>3127</v>
      </c>
      <c r="B2190" s="246"/>
      <c r="C2190" s="138" t="s">
        <v>3051</v>
      </c>
      <c r="D2190" s="138" t="s">
        <v>3042</v>
      </c>
      <c r="E2190" s="138" t="s">
        <v>21</v>
      </c>
      <c r="F2190" s="111">
        <v>400</v>
      </c>
      <c r="G2190" s="24">
        <v>0</v>
      </c>
      <c r="H2190" s="111">
        <v>400</v>
      </c>
      <c r="I2190" s="24">
        <v>0</v>
      </c>
      <c r="J2190" s="24">
        <v>0</v>
      </c>
      <c r="K2190" s="163" t="s">
        <v>2758</v>
      </c>
    </row>
    <row r="2191" spans="1:11" s="164" customFormat="1" ht="78.599999999999994" customHeight="1" x14ac:dyDescent="0.3">
      <c r="A2191" s="168" t="s">
        <v>3128</v>
      </c>
      <c r="B2191" s="246"/>
      <c r="C2191" s="138" t="s">
        <v>3052</v>
      </c>
      <c r="D2191" s="138" t="s">
        <v>3040</v>
      </c>
      <c r="E2191" s="138" t="s">
        <v>21</v>
      </c>
      <c r="F2191" s="111">
        <v>500</v>
      </c>
      <c r="G2191" s="24">
        <v>0</v>
      </c>
      <c r="H2191" s="111">
        <v>500</v>
      </c>
      <c r="I2191" s="24">
        <v>0</v>
      </c>
      <c r="J2191" s="24">
        <v>0</v>
      </c>
      <c r="K2191" s="163" t="s">
        <v>316</v>
      </c>
    </row>
    <row r="2192" spans="1:11" s="164" customFormat="1" ht="78.599999999999994" customHeight="1" x14ac:dyDescent="0.3">
      <c r="A2192" s="168" t="s">
        <v>3129</v>
      </c>
      <c r="B2192" s="246"/>
      <c r="C2192" s="138" t="s">
        <v>3053</v>
      </c>
      <c r="D2192" s="138" t="s">
        <v>3040</v>
      </c>
      <c r="E2192" s="138" t="s">
        <v>3054</v>
      </c>
      <c r="F2192" s="111">
        <v>232</v>
      </c>
      <c r="G2192" s="24">
        <v>0</v>
      </c>
      <c r="H2192" s="111">
        <v>232</v>
      </c>
      <c r="I2192" s="24">
        <v>0</v>
      </c>
      <c r="J2192" s="24">
        <v>0</v>
      </c>
      <c r="K2192" s="163" t="s">
        <v>316</v>
      </c>
    </row>
    <row r="2193" spans="1:11" s="164" customFormat="1" ht="78.599999999999994" customHeight="1" x14ac:dyDescent="0.3">
      <c r="A2193" s="168" t="s">
        <v>3130</v>
      </c>
      <c r="B2193" s="246"/>
      <c r="C2193" s="138" t="s">
        <v>3055</v>
      </c>
      <c r="D2193" s="138" t="s">
        <v>3025</v>
      </c>
      <c r="E2193" s="138" t="s">
        <v>21</v>
      </c>
      <c r="F2193" s="111">
        <v>75</v>
      </c>
      <c r="G2193" s="24">
        <v>0</v>
      </c>
      <c r="H2193" s="111">
        <v>75</v>
      </c>
      <c r="I2193" s="24">
        <v>0</v>
      </c>
      <c r="J2193" s="24">
        <v>0</v>
      </c>
      <c r="K2193" s="163" t="s">
        <v>13</v>
      </c>
    </row>
    <row r="2194" spans="1:11" s="164" customFormat="1" ht="78.599999999999994" customHeight="1" x14ac:dyDescent="0.3">
      <c r="A2194" s="168" t="s">
        <v>3131</v>
      </c>
      <c r="B2194" s="246"/>
      <c r="C2194" s="138" t="s">
        <v>3056</v>
      </c>
      <c r="D2194" s="138" t="s">
        <v>3008</v>
      </c>
      <c r="E2194" s="138" t="s">
        <v>21</v>
      </c>
      <c r="F2194" s="111">
        <v>94</v>
      </c>
      <c r="G2194" s="24">
        <v>0</v>
      </c>
      <c r="H2194" s="111">
        <v>94</v>
      </c>
      <c r="I2194" s="24">
        <v>0</v>
      </c>
      <c r="J2194" s="24">
        <v>0</v>
      </c>
      <c r="K2194" s="163" t="s">
        <v>3057</v>
      </c>
    </row>
    <row r="2195" spans="1:11" s="164" customFormat="1" ht="78.599999999999994" customHeight="1" x14ac:dyDescent="0.3">
      <c r="A2195" s="168" t="s">
        <v>3132</v>
      </c>
      <c r="B2195" s="246"/>
      <c r="C2195" s="138" t="s">
        <v>3058</v>
      </c>
      <c r="D2195" s="138" t="s">
        <v>3005</v>
      </c>
      <c r="E2195" s="138" t="s">
        <v>21</v>
      </c>
      <c r="F2195" s="111">
        <v>69</v>
      </c>
      <c r="G2195" s="24">
        <v>0</v>
      </c>
      <c r="H2195" s="111">
        <v>69</v>
      </c>
      <c r="I2195" s="24">
        <v>0</v>
      </c>
      <c r="J2195" s="24">
        <v>0</v>
      </c>
      <c r="K2195" s="163" t="s">
        <v>3059</v>
      </c>
    </row>
    <row r="2196" spans="1:11" s="164" customFormat="1" ht="78.599999999999994" customHeight="1" x14ac:dyDescent="0.3">
      <c r="A2196" s="168" t="s">
        <v>3133</v>
      </c>
      <c r="B2196" s="246"/>
      <c r="C2196" s="138" t="s">
        <v>3060</v>
      </c>
      <c r="D2196" s="138" t="s">
        <v>3015</v>
      </c>
      <c r="E2196" s="138" t="s">
        <v>21</v>
      </c>
      <c r="F2196" s="111">
        <v>90</v>
      </c>
      <c r="G2196" s="24">
        <v>0</v>
      </c>
      <c r="H2196" s="111">
        <v>90</v>
      </c>
      <c r="I2196" s="24">
        <v>0</v>
      </c>
      <c r="J2196" s="24">
        <v>0</v>
      </c>
      <c r="K2196" s="163" t="s">
        <v>1232</v>
      </c>
    </row>
    <row r="2197" spans="1:11" s="164" customFormat="1" ht="78.599999999999994" customHeight="1" x14ac:dyDescent="0.3">
      <c r="A2197" s="168" t="s">
        <v>3134</v>
      </c>
      <c r="B2197" s="246"/>
      <c r="C2197" s="138" t="s">
        <v>3061</v>
      </c>
      <c r="D2197" s="138" t="s">
        <v>3011</v>
      </c>
      <c r="E2197" s="138" t="s">
        <v>21</v>
      </c>
      <c r="F2197" s="111">
        <v>90</v>
      </c>
      <c r="G2197" s="24">
        <v>0</v>
      </c>
      <c r="H2197" s="111">
        <v>90</v>
      </c>
      <c r="I2197" s="24">
        <v>0</v>
      </c>
      <c r="J2197" s="24">
        <v>0</v>
      </c>
      <c r="K2197" s="163" t="s">
        <v>3059</v>
      </c>
    </row>
    <row r="2198" spans="1:11" s="164" customFormat="1" ht="78.599999999999994" customHeight="1" x14ac:dyDescent="0.3">
      <c r="A2198" s="168" t="s">
        <v>3135</v>
      </c>
      <c r="B2198" s="246"/>
      <c r="C2198" s="138" t="s">
        <v>3062</v>
      </c>
      <c r="D2198" s="138" t="s">
        <v>3013</v>
      </c>
      <c r="E2198" s="138" t="s">
        <v>21</v>
      </c>
      <c r="F2198" s="111">
        <v>35</v>
      </c>
      <c r="G2198" s="24">
        <v>0</v>
      </c>
      <c r="H2198" s="111">
        <v>35</v>
      </c>
      <c r="I2198" s="24">
        <v>0</v>
      </c>
      <c r="J2198" s="24">
        <v>0</v>
      </c>
      <c r="K2198" s="163" t="s">
        <v>1232</v>
      </c>
    </row>
    <row r="2199" spans="1:11" s="164" customFormat="1" ht="78.599999999999994" customHeight="1" x14ac:dyDescent="0.3">
      <c r="A2199" s="168" t="s">
        <v>3136</v>
      </c>
      <c r="B2199" s="246"/>
      <c r="C2199" s="138" t="s">
        <v>3063</v>
      </c>
      <c r="D2199" s="138" t="s">
        <v>3027</v>
      </c>
      <c r="E2199" s="138" t="s">
        <v>21</v>
      </c>
      <c r="F2199" s="111">
        <v>53</v>
      </c>
      <c r="G2199" s="24">
        <v>0</v>
      </c>
      <c r="H2199" s="111">
        <v>53</v>
      </c>
      <c r="I2199" s="24">
        <v>0</v>
      </c>
      <c r="J2199" s="24">
        <v>0</v>
      </c>
      <c r="K2199" s="163" t="s">
        <v>1232</v>
      </c>
    </row>
    <row r="2200" spans="1:11" s="164" customFormat="1" ht="78.599999999999994" customHeight="1" x14ac:dyDescent="0.3">
      <c r="A2200" s="168" t="s">
        <v>3137</v>
      </c>
      <c r="B2200" s="246"/>
      <c r="C2200" s="138" t="s">
        <v>3064</v>
      </c>
      <c r="D2200" s="138" t="s">
        <v>3065</v>
      </c>
      <c r="E2200" s="138" t="s">
        <v>21</v>
      </c>
      <c r="F2200" s="111">
        <v>17.5</v>
      </c>
      <c r="G2200" s="24">
        <v>0</v>
      </c>
      <c r="H2200" s="111">
        <v>17.5</v>
      </c>
      <c r="I2200" s="24">
        <v>0</v>
      </c>
      <c r="J2200" s="24">
        <v>0</v>
      </c>
      <c r="K2200" s="163" t="s">
        <v>1232</v>
      </c>
    </row>
    <row r="2201" spans="1:11" s="164" customFormat="1" ht="106.95" customHeight="1" x14ac:dyDescent="0.3">
      <c r="A2201" s="168" t="s">
        <v>3138</v>
      </c>
      <c r="B2201" s="246"/>
      <c r="C2201" s="138" t="s">
        <v>3066</v>
      </c>
      <c r="D2201" s="138" t="s">
        <v>3019</v>
      </c>
      <c r="E2201" s="138" t="s">
        <v>21</v>
      </c>
      <c r="F2201" s="111">
        <v>80</v>
      </c>
      <c r="G2201" s="24">
        <v>0</v>
      </c>
      <c r="H2201" s="111">
        <v>80</v>
      </c>
      <c r="I2201" s="24">
        <v>0</v>
      </c>
      <c r="J2201" s="24">
        <v>0</v>
      </c>
      <c r="K2201" s="163" t="s">
        <v>13</v>
      </c>
    </row>
    <row r="2202" spans="1:11" s="164" customFormat="1" ht="103.95" customHeight="1" x14ac:dyDescent="0.3">
      <c r="A2202" s="168" t="s">
        <v>3139</v>
      </c>
      <c r="B2202" s="246"/>
      <c r="C2202" s="138" t="s">
        <v>3067</v>
      </c>
      <c r="D2202" s="138" t="s">
        <v>3068</v>
      </c>
      <c r="E2202" s="138" t="s">
        <v>21</v>
      </c>
      <c r="F2202" s="111">
        <v>1428</v>
      </c>
      <c r="G2202" s="24">
        <v>0</v>
      </c>
      <c r="H2202" s="24">
        <v>0</v>
      </c>
      <c r="I2202" s="111">
        <v>1428</v>
      </c>
      <c r="J2202" s="24">
        <v>0</v>
      </c>
      <c r="K2202" s="163" t="s">
        <v>13</v>
      </c>
    </row>
    <row r="2203" spans="1:11" s="164" customFormat="1" ht="90.6" customHeight="1" x14ac:dyDescent="0.3">
      <c r="A2203" s="168" t="s">
        <v>3140</v>
      </c>
      <c r="B2203" s="246"/>
      <c r="C2203" s="138" t="s">
        <v>3069</v>
      </c>
      <c r="D2203" s="138" t="s">
        <v>3070</v>
      </c>
      <c r="E2203" s="138" t="s">
        <v>3054</v>
      </c>
      <c r="F2203" s="111">
        <v>500</v>
      </c>
      <c r="G2203" s="24">
        <v>0</v>
      </c>
      <c r="H2203" s="24">
        <v>0</v>
      </c>
      <c r="I2203" s="111">
        <v>500</v>
      </c>
      <c r="J2203" s="24">
        <v>0</v>
      </c>
      <c r="K2203" s="163" t="s">
        <v>13</v>
      </c>
    </row>
    <row r="2204" spans="1:11" s="164" customFormat="1" ht="96" customHeight="1" x14ac:dyDescent="0.3">
      <c r="A2204" s="168" t="s">
        <v>3141</v>
      </c>
      <c r="B2204" s="246"/>
      <c r="C2204" s="138" t="s">
        <v>3071</v>
      </c>
      <c r="D2204" s="138" t="s">
        <v>3072</v>
      </c>
      <c r="E2204" s="138" t="s">
        <v>21</v>
      </c>
      <c r="F2204" s="111">
        <v>1300</v>
      </c>
      <c r="G2204" s="24">
        <v>0</v>
      </c>
      <c r="H2204" s="24">
        <v>0</v>
      </c>
      <c r="I2204" s="111">
        <v>1300</v>
      </c>
      <c r="J2204" s="24">
        <v>0</v>
      </c>
      <c r="K2204" s="163" t="s">
        <v>3073</v>
      </c>
    </row>
    <row r="2205" spans="1:11" s="164" customFormat="1" ht="103.95" customHeight="1" x14ac:dyDescent="0.3">
      <c r="A2205" s="168" t="s">
        <v>3142</v>
      </c>
      <c r="B2205" s="246"/>
      <c r="C2205" s="138" t="s">
        <v>3074</v>
      </c>
      <c r="D2205" s="138" t="s">
        <v>3075</v>
      </c>
      <c r="E2205" s="138" t="s">
        <v>21</v>
      </c>
      <c r="F2205" s="111">
        <v>500</v>
      </c>
      <c r="G2205" s="24">
        <v>0</v>
      </c>
      <c r="H2205" s="24">
        <v>0</v>
      </c>
      <c r="I2205" s="111">
        <v>500</v>
      </c>
      <c r="J2205" s="24">
        <v>0</v>
      </c>
      <c r="K2205" s="163" t="s">
        <v>1236</v>
      </c>
    </row>
    <row r="2206" spans="1:11" s="164" customFormat="1" ht="78.599999999999994" customHeight="1" x14ac:dyDescent="0.3">
      <c r="A2206" s="168" t="s">
        <v>3143</v>
      </c>
      <c r="B2206" s="246"/>
      <c r="C2206" s="138" t="s">
        <v>3076</v>
      </c>
      <c r="D2206" s="138" t="s">
        <v>3077</v>
      </c>
      <c r="E2206" s="138" t="s">
        <v>21</v>
      </c>
      <c r="F2206" s="111">
        <v>358</v>
      </c>
      <c r="G2206" s="24">
        <v>0</v>
      </c>
      <c r="H2206" s="24">
        <v>0</v>
      </c>
      <c r="I2206" s="111">
        <v>358</v>
      </c>
      <c r="J2206" s="24">
        <v>0</v>
      </c>
      <c r="K2206" s="163" t="s">
        <v>1236</v>
      </c>
    </row>
    <row r="2207" spans="1:11" s="164" customFormat="1" ht="97.95" customHeight="1" x14ac:dyDescent="0.3">
      <c r="A2207" s="168" t="s">
        <v>3144</v>
      </c>
      <c r="B2207" s="246"/>
      <c r="C2207" s="138" t="s">
        <v>3078</v>
      </c>
      <c r="D2207" s="138" t="s">
        <v>3068</v>
      </c>
      <c r="E2207" s="138" t="s">
        <v>21</v>
      </c>
      <c r="F2207" s="111">
        <v>2340</v>
      </c>
      <c r="G2207" s="24">
        <v>0</v>
      </c>
      <c r="H2207" s="24">
        <v>0</v>
      </c>
      <c r="I2207" s="111">
        <v>2340</v>
      </c>
      <c r="J2207" s="24">
        <v>0</v>
      </c>
      <c r="K2207" s="163" t="s">
        <v>1236</v>
      </c>
    </row>
    <row r="2208" spans="1:11" s="164" customFormat="1" ht="100.2" customHeight="1" x14ac:dyDescent="0.3">
      <c r="A2208" s="168" t="s">
        <v>3145</v>
      </c>
      <c r="B2208" s="246"/>
      <c r="C2208" s="138" t="s">
        <v>3079</v>
      </c>
      <c r="D2208" s="138" t="s">
        <v>3072</v>
      </c>
      <c r="E2208" s="138" t="s">
        <v>21</v>
      </c>
      <c r="F2208" s="111">
        <v>400</v>
      </c>
      <c r="G2208" s="24">
        <v>0</v>
      </c>
      <c r="H2208" s="24">
        <v>0</v>
      </c>
      <c r="I2208" s="111">
        <v>400</v>
      </c>
      <c r="J2208" s="24">
        <v>0</v>
      </c>
      <c r="K2208" s="163" t="s">
        <v>1236</v>
      </c>
    </row>
    <row r="2209" spans="1:11" s="164" customFormat="1" ht="78.599999999999994" customHeight="1" x14ac:dyDescent="0.3">
      <c r="A2209" s="168" t="s">
        <v>3146</v>
      </c>
      <c r="B2209" s="246"/>
      <c r="C2209" s="138" t="s">
        <v>3080</v>
      </c>
      <c r="D2209" s="138" t="s">
        <v>3081</v>
      </c>
      <c r="E2209" s="138" t="s">
        <v>21</v>
      </c>
      <c r="F2209" s="111">
        <f>215260.67/1000</f>
        <v>215.26067</v>
      </c>
      <c r="G2209" s="24">
        <v>0</v>
      </c>
      <c r="H2209" s="24">
        <v>0</v>
      </c>
      <c r="I2209" s="111">
        <f>215260.67/1000</f>
        <v>215.26067</v>
      </c>
      <c r="J2209" s="24">
        <v>0</v>
      </c>
      <c r="K2209" s="163" t="s">
        <v>1236</v>
      </c>
    </row>
    <row r="2210" spans="1:11" s="164" customFormat="1" ht="78.599999999999994" customHeight="1" x14ac:dyDescent="0.3">
      <c r="A2210" s="168" t="s">
        <v>3147</v>
      </c>
      <c r="B2210" s="246"/>
      <c r="C2210" s="138" t="s">
        <v>3082</v>
      </c>
      <c r="D2210" s="138" t="s">
        <v>3070</v>
      </c>
      <c r="E2210" s="138" t="s">
        <v>21</v>
      </c>
      <c r="F2210" s="111">
        <v>500</v>
      </c>
      <c r="G2210" s="24">
        <v>0</v>
      </c>
      <c r="H2210" s="24">
        <v>0</v>
      </c>
      <c r="I2210" s="111">
        <v>5000</v>
      </c>
      <c r="J2210" s="24">
        <v>0</v>
      </c>
      <c r="K2210" s="163" t="s">
        <v>3083</v>
      </c>
    </row>
    <row r="2211" spans="1:11" s="164" customFormat="1" ht="78.599999999999994" customHeight="1" x14ac:dyDescent="0.3">
      <c r="A2211" s="168" t="s">
        <v>3148</v>
      </c>
      <c r="B2211" s="246"/>
      <c r="C2211" s="138" t="s">
        <v>3084</v>
      </c>
      <c r="D2211" s="138" t="s">
        <v>3070</v>
      </c>
      <c r="E2211" s="138" t="s">
        <v>21</v>
      </c>
      <c r="F2211" s="111">
        <v>232</v>
      </c>
      <c r="G2211" s="24">
        <v>0</v>
      </c>
      <c r="H2211" s="24">
        <v>0</v>
      </c>
      <c r="I2211" s="111">
        <v>232</v>
      </c>
      <c r="J2211" s="24">
        <v>0</v>
      </c>
      <c r="K2211" s="163" t="s">
        <v>3083</v>
      </c>
    </row>
    <row r="2212" spans="1:11" s="164" customFormat="1" ht="93" customHeight="1" x14ac:dyDescent="0.3">
      <c r="A2212" s="168" t="s">
        <v>3149</v>
      </c>
      <c r="B2212" s="246"/>
      <c r="C2212" s="138" t="s">
        <v>3085</v>
      </c>
      <c r="D2212" s="138" t="s">
        <v>3072</v>
      </c>
      <c r="E2212" s="138" t="s">
        <v>21</v>
      </c>
      <c r="F2212" s="111">
        <v>400</v>
      </c>
      <c r="G2212" s="24">
        <v>0</v>
      </c>
      <c r="H2212" s="24">
        <v>0</v>
      </c>
      <c r="I2212" s="111">
        <v>400</v>
      </c>
      <c r="J2212" s="24">
        <v>0</v>
      </c>
      <c r="K2212" s="163" t="s">
        <v>3083</v>
      </c>
    </row>
    <row r="2213" spans="1:11" s="164" customFormat="1" ht="94.2" customHeight="1" x14ac:dyDescent="0.3">
      <c r="A2213" s="168" t="s">
        <v>3150</v>
      </c>
      <c r="B2213" s="246"/>
      <c r="C2213" s="138" t="s">
        <v>3086</v>
      </c>
      <c r="D2213" s="138" t="s">
        <v>3075</v>
      </c>
      <c r="E2213" s="138" t="s">
        <v>21</v>
      </c>
      <c r="F2213" s="111">
        <v>500</v>
      </c>
      <c r="G2213" s="24">
        <v>0</v>
      </c>
      <c r="H2213" s="24">
        <v>0</v>
      </c>
      <c r="I2213" s="111">
        <v>500</v>
      </c>
      <c r="J2213" s="24">
        <v>0</v>
      </c>
      <c r="K2213" s="163" t="s">
        <v>3083</v>
      </c>
    </row>
    <row r="2214" spans="1:11" s="164" customFormat="1" ht="99.6" customHeight="1" x14ac:dyDescent="0.3">
      <c r="A2214" s="168" t="s">
        <v>3151</v>
      </c>
      <c r="B2214" s="246"/>
      <c r="C2214" s="138" t="s">
        <v>3087</v>
      </c>
      <c r="D2214" s="138" t="s">
        <v>3075</v>
      </c>
      <c r="E2214" s="138" t="s">
        <v>21</v>
      </c>
      <c r="F2214" s="111">
        <v>400</v>
      </c>
      <c r="G2214" s="24">
        <v>0</v>
      </c>
      <c r="H2214" s="24">
        <v>0</v>
      </c>
      <c r="I2214" s="111">
        <v>400</v>
      </c>
      <c r="J2214" s="24">
        <v>0</v>
      </c>
      <c r="K2214" s="163" t="s">
        <v>359</v>
      </c>
    </row>
    <row r="2215" spans="1:11" s="164" customFormat="1" ht="92.25" customHeight="1" x14ac:dyDescent="0.3">
      <c r="A2215" s="168" t="s">
        <v>3152</v>
      </c>
      <c r="B2215" s="246"/>
      <c r="C2215" s="138" t="s">
        <v>3088</v>
      </c>
      <c r="D2215" s="138" t="s">
        <v>3019</v>
      </c>
      <c r="E2215" s="138" t="s">
        <v>21</v>
      </c>
      <c r="F2215" s="111">
        <v>80</v>
      </c>
      <c r="G2215" s="24">
        <v>0</v>
      </c>
      <c r="H2215" s="24">
        <v>0</v>
      </c>
      <c r="I2215" s="111">
        <v>80</v>
      </c>
      <c r="J2215" s="24">
        <v>0</v>
      </c>
      <c r="K2215" s="163" t="s">
        <v>3089</v>
      </c>
    </row>
    <row r="2216" spans="1:11" s="164" customFormat="1" ht="78.599999999999994" customHeight="1" x14ac:dyDescent="0.3">
      <c r="A2216" s="168" t="s">
        <v>3153</v>
      </c>
      <c r="B2216" s="246"/>
      <c r="C2216" s="138" t="s">
        <v>3090</v>
      </c>
      <c r="D2216" s="138" t="s">
        <v>3013</v>
      </c>
      <c r="E2216" s="138" t="s">
        <v>21</v>
      </c>
      <c r="F2216" s="111">
        <v>35</v>
      </c>
      <c r="G2216" s="24">
        <v>0</v>
      </c>
      <c r="H2216" s="24">
        <v>0</v>
      </c>
      <c r="I2216" s="111">
        <v>35</v>
      </c>
      <c r="J2216" s="24">
        <v>0</v>
      </c>
      <c r="K2216" s="163" t="s">
        <v>3089</v>
      </c>
    </row>
    <row r="2217" spans="1:11" s="164" customFormat="1" ht="78.599999999999994" customHeight="1" x14ac:dyDescent="0.3">
      <c r="A2217" s="168" t="s">
        <v>3154</v>
      </c>
      <c r="B2217" s="246"/>
      <c r="C2217" s="138" t="s">
        <v>3091</v>
      </c>
      <c r="D2217" s="138" t="s">
        <v>3011</v>
      </c>
      <c r="E2217" s="138" t="s">
        <v>21</v>
      </c>
      <c r="F2217" s="111">
        <v>90</v>
      </c>
      <c r="G2217" s="24">
        <v>0</v>
      </c>
      <c r="H2217" s="24">
        <v>0</v>
      </c>
      <c r="I2217" s="111">
        <v>90</v>
      </c>
      <c r="J2217" s="24">
        <v>0</v>
      </c>
      <c r="K2217" s="163" t="s">
        <v>3089</v>
      </c>
    </row>
    <row r="2218" spans="1:11" s="164" customFormat="1" ht="78.599999999999994" customHeight="1" x14ac:dyDescent="0.3">
      <c r="A2218" s="168" t="s">
        <v>3155</v>
      </c>
      <c r="B2218" s="246"/>
      <c r="C2218" s="138" t="s">
        <v>3092</v>
      </c>
      <c r="D2218" s="138" t="s">
        <v>3027</v>
      </c>
      <c r="E2218" s="138" t="s">
        <v>21</v>
      </c>
      <c r="F2218" s="111">
        <v>53</v>
      </c>
      <c r="G2218" s="24">
        <v>0</v>
      </c>
      <c r="H2218" s="24">
        <v>0</v>
      </c>
      <c r="I2218" s="111">
        <v>53</v>
      </c>
      <c r="J2218" s="24">
        <v>0</v>
      </c>
      <c r="K2218" s="163" t="s">
        <v>3089</v>
      </c>
    </row>
    <row r="2219" spans="1:11" s="164" customFormat="1" ht="78.599999999999994" customHeight="1" x14ac:dyDescent="0.3">
      <c r="A2219" s="168" t="s">
        <v>3156</v>
      </c>
      <c r="B2219" s="246"/>
      <c r="C2219" s="138" t="s">
        <v>3093</v>
      </c>
      <c r="D2219" s="138" t="s">
        <v>3005</v>
      </c>
      <c r="E2219" s="138" t="s">
        <v>21</v>
      </c>
      <c r="F2219" s="111">
        <v>69</v>
      </c>
      <c r="G2219" s="24">
        <v>0</v>
      </c>
      <c r="H2219" s="24">
        <v>0</v>
      </c>
      <c r="I2219" s="111">
        <v>69</v>
      </c>
      <c r="J2219" s="24">
        <v>0</v>
      </c>
      <c r="K2219" s="163" t="s">
        <v>1265</v>
      </c>
    </row>
    <row r="2220" spans="1:11" s="164" customFormat="1" ht="78.599999999999994" customHeight="1" x14ac:dyDescent="0.3">
      <c r="A2220" s="168" t="s">
        <v>3169</v>
      </c>
      <c r="B2220" s="246"/>
      <c r="C2220" s="138" t="s">
        <v>3094</v>
      </c>
      <c r="D2220" s="138" t="s">
        <v>3008</v>
      </c>
      <c r="E2220" s="138" t="s">
        <v>21</v>
      </c>
      <c r="F2220" s="111">
        <v>94</v>
      </c>
      <c r="G2220" s="24">
        <v>0</v>
      </c>
      <c r="H2220" s="24">
        <v>0</v>
      </c>
      <c r="I2220" s="111">
        <v>94</v>
      </c>
      <c r="J2220" s="24">
        <v>0</v>
      </c>
      <c r="K2220" s="163" t="s">
        <v>3095</v>
      </c>
    </row>
    <row r="2221" spans="1:11" s="164" customFormat="1" ht="78.599999999999994" customHeight="1" x14ac:dyDescent="0.3">
      <c r="A2221" s="168" t="s">
        <v>3170</v>
      </c>
      <c r="B2221" s="246"/>
      <c r="C2221" s="138" t="s">
        <v>3096</v>
      </c>
      <c r="D2221" s="138" t="s">
        <v>3015</v>
      </c>
      <c r="E2221" s="138" t="s">
        <v>21</v>
      </c>
      <c r="F2221" s="111">
        <v>90</v>
      </c>
      <c r="G2221" s="24">
        <v>0</v>
      </c>
      <c r="H2221" s="24">
        <v>0</v>
      </c>
      <c r="I2221" s="111">
        <v>90</v>
      </c>
      <c r="J2221" s="24">
        <v>0</v>
      </c>
      <c r="K2221" s="163" t="s">
        <v>3089</v>
      </c>
    </row>
    <row r="2222" spans="1:11" s="164" customFormat="1" ht="89.4" customHeight="1" x14ac:dyDescent="0.3">
      <c r="A2222" s="168" t="s">
        <v>3171</v>
      </c>
      <c r="B2222" s="246"/>
      <c r="C2222" s="138" t="s">
        <v>3097</v>
      </c>
      <c r="D2222" s="138" t="s">
        <v>3017</v>
      </c>
      <c r="E2222" s="138" t="s">
        <v>21</v>
      </c>
      <c r="F2222" s="111">
        <v>17.5</v>
      </c>
      <c r="G2222" s="24">
        <v>0</v>
      </c>
      <c r="H2222" s="24">
        <v>0</v>
      </c>
      <c r="I2222" s="111">
        <v>17.5</v>
      </c>
      <c r="J2222" s="24">
        <v>0</v>
      </c>
      <c r="K2222" s="163" t="s">
        <v>3089</v>
      </c>
    </row>
    <row r="2223" spans="1:11" s="164" customFormat="1" ht="78.599999999999994" customHeight="1" x14ac:dyDescent="0.3">
      <c r="A2223" s="168" t="s">
        <v>3172</v>
      </c>
      <c r="B2223" s="246"/>
      <c r="C2223" s="138" t="s">
        <v>3098</v>
      </c>
      <c r="D2223" s="138" t="s">
        <v>3025</v>
      </c>
      <c r="E2223" s="138" t="s">
        <v>21</v>
      </c>
      <c r="F2223" s="111">
        <v>75</v>
      </c>
      <c r="G2223" s="24">
        <v>0</v>
      </c>
      <c r="H2223" s="24">
        <v>0</v>
      </c>
      <c r="I2223" s="111">
        <v>75</v>
      </c>
      <c r="J2223" s="24">
        <v>0</v>
      </c>
      <c r="K2223" s="163" t="s">
        <v>3099</v>
      </c>
    </row>
    <row r="2224" spans="1:11" s="166" customFormat="1" ht="15" customHeight="1" x14ac:dyDescent="0.3">
      <c r="A2224" s="266" t="s">
        <v>3100</v>
      </c>
      <c r="B2224" s="266"/>
      <c r="C2224" s="267"/>
      <c r="D2224" s="267"/>
      <c r="E2224" s="267"/>
      <c r="F2224" s="114"/>
      <c r="G2224" s="114">
        <f>SUM(G2166:G2223)</f>
        <v>2595.5500000000002</v>
      </c>
      <c r="H2224" s="114"/>
      <c r="I2224" s="114"/>
      <c r="J2224" s="24">
        <v>0</v>
      </c>
      <c r="K2224" s="165"/>
    </row>
    <row r="2225" spans="1:11" s="166" customFormat="1" ht="19.95" customHeight="1" x14ac:dyDescent="0.3">
      <c r="A2225" s="266" t="s">
        <v>3101</v>
      </c>
      <c r="B2225" s="266"/>
      <c r="C2225" s="267"/>
      <c r="D2225" s="267"/>
      <c r="E2225" s="267"/>
      <c r="F2225" s="114"/>
      <c r="G2225" s="114"/>
      <c r="H2225" s="114">
        <f>SUM(H2166:H2224)</f>
        <v>9676.7606699999997</v>
      </c>
      <c r="I2225" s="114"/>
      <c r="J2225" s="24">
        <v>0</v>
      </c>
      <c r="K2225" s="165"/>
    </row>
    <row r="2226" spans="1:11" s="166" customFormat="1" ht="15.6" customHeight="1" x14ac:dyDescent="0.3">
      <c r="A2226" s="266" t="s">
        <v>3102</v>
      </c>
      <c r="B2226" s="266"/>
      <c r="C2226" s="267"/>
      <c r="D2226" s="267"/>
      <c r="E2226" s="267"/>
      <c r="F2226" s="114"/>
      <c r="G2226" s="114"/>
      <c r="H2226" s="114"/>
      <c r="I2226" s="114">
        <f>SUM(I2166:I2225)</f>
        <v>14176.76067</v>
      </c>
      <c r="J2226" s="24">
        <v>0</v>
      </c>
      <c r="K2226" s="165"/>
    </row>
  </sheetData>
  <mergeCells count="501">
    <mergeCell ref="A2224:E2224"/>
    <mergeCell ref="A2225:E2225"/>
    <mergeCell ref="A2226:E2226"/>
    <mergeCell ref="B2166:B2223"/>
    <mergeCell ref="A2161:D2161"/>
    <mergeCell ref="A2163:D2163"/>
    <mergeCell ref="A2165:D2165"/>
    <mergeCell ref="A2157:E2157"/>
    <mergeCell ref="A2159:E2159"/>
    <mergeCell ref="A2109:F2109"/>
    <mergeCell ref="B2110:B2131"/>
    <mergeCell ref="A2132:E2132"/>
    <mergeCell ref="B2133:B2152"/>
    <mergeCell ref="A2153:E2153"/>
    <mergeCell ref="A2087:A2088"/>
    <mergeCell ref="A2090:A2091"/>
    <mergeCell ref="A2093:A2094"/>
    <mergeCell ref="A2096:A2097"/>
    <mergeCell ref="A2099:A2100"/>
    <mergeCell ref="A2102:A2103"/>
    <mergeCell ref="A2105:A2106"/>
    <mergeCell ref="B2086:B2108"/>
    <mergeCell ref="B1546:B1548"/>
    <mergeCell ref="B1550:B1568"/>
    <mergeCell ref="B1570:B1585"/>
    <mergeCell ref="A1509:E1509"/>
    <mergeCell ref="A1520:E1520"/>
    <mergeCell ref="A1527:E1527"/>
    <mergeCell ref="A1906:E1906"/>
    <mergeCell ref="A1378:E1378"/>
    <mergeCell ref="B1379:B1388"/>
    <mergeCell ref="B1745:B1761"/>
    <mergeCell ref="B1763:B1769"/>
    <mergeCell ref="B1771:B1775"/>
    <mergeCell ref="B1777:B1780"/>
    <mergeCell ref="B1782:B1806"/>
    <mergeCell ref="B1824:B1830"/>
    <mergeCell ref="B1808:B1822"/>
    <mergeCell ref="B1498:B1508"/>
    <mergeCell ref="B1510:B1519"/>
    <mergeCell ref="B1521:B1526"/>
    <mergeCell ref="B1530:B1536"/>
    <mergeCell ref="B1538:B1540"/>
    <mergeCell ref="A1541:E1541"/>
    <mergeCell ref="A1545:E1545"/>
    <mergeCell ref="B1542:B1544"/>
    <mergeCell ref="A1962:E1962"/>
    <mergeCell ref="A1990:E1990"/>
    <mergeCell ref="A1994:E1994"/>
    <mergeCell ref="A1823:E1823"/>
    <mergeCell ref="A1831:E1831"/>
    <mergeCell ref="A1842:E1842"/>
    <mergeCell ref="A1852:E1852"/>
    <mergeCell ref="A1549:E1549"/>
    <mergeCell ref="A1569:E1569"/>
    <mergeCell ref="A1586:E1586"/>
    <mergeCell ref="B1587:B1599"/>
    <mergeCell ref="B1601:B1631"/>
    <mergeCell ref="B1633:B1671"/>
    <mergeCell ref="B1673:B1709"/>
    <mergeCell ref="B1717:B1725"/>
    <mergeCell ref="A1712:E1712"/>
    <mergeCell ref="B1834:B1841"/>
    <mergeCell ref="B1843:B1851"/>
    <mergeCell ref="B1863:B1905"/>
    <mergeCell ref="B1907:B1961"/>
    <mergeCell ref="B1963:B1989"/>
    <mergeCell ref="B1991:B1993"/>
    <mergeCell ref="B1853:B1861"/>
    <mergeCell ref="A1833:E1833"/>
    <mergeCell ref="B1995:B2004"/>
    <mergeCell ref="C1998:F1998"/>
    <mergeCell ref="C2001:F2001"/>
    <mergeCell ref="C2004:F2004"/>
    <mergeCell ref="A1997:A1998"/>
    <mergeCell ref="A2000:A2001"/>
    <mergeCell ref="A2003:A2004"/>
    <mergeCell ref="A2048:D2048"/>
    <mergeCell ref="A2085:D2085"/>
    <mergeCell ref="B2071:B2084"/>
    <mergeCell ref="B2049:B2069"/>
    <mergeCell ref="A2070:E2070"/>
    <mergeCell ref="B2005:B2047"/>
    <mergeCell ref="A1253:E1253"/>
    <mergeCell ref="A1290:E1290"/>
    <mergeCell ref="A1389:E1389"/>
    <mergeCell ref="B1433:B1464"/>
    <mergeCell ref="B1466:B1492"/>
    <mergeCell ref="B1494:B1496"/>
    <mergeCell ref="A1529:E1529"/>
    <mergeCell ref="A1493:E1493"/>
    <mergeCell ref="A1465:E1465"/>
    <mergeCell ref="B1390:B1391"/>
    <mergeCell ref="A1392:E1392"/>
    <mergeCell ref="B1393:B1394"/>
    <mergeCell ref="A1395:E1395"/>
    <mergeCell ref="B1396:B1397"/>
    <mergeCell ref="A1357:E1357"/>
    <mergeCell ref="B1358:B1377"/>
    <mergeCell ref="B1331:B1332"/>
    <mergeCell ref="A1333:E1333"/>
    <mergeCell ref="B1334:B1335"/>
    <mergeCell ref="A1336:E1336"/>
    <mergeCell ref="B1337:B1356"/>
    <mergeCell ref="B1323:B1325"/>
    <mergeCell ref="A1326:E1326"/>
    <mergeCell ref="B1327:B1329"/>
    <mergeCell ref="B1038:B1070"/>
    <mergeCell ref="B1131:B1132"/>
    <mergeCell ref="B1102:B1129"/>
    <mergeCell ref="B1072:B1100"/>
    <mergeCell ref="A1862:E1862"/>
    <mergeCell ref="A1770:E1770"/>
    <mergeCell ref="A1776:E1776"/>
    <mergeCell ref="A1781:E1781"/>
    <mergeCell ref="A1807:E1807"/>
    <mergeCell ref="A1714:E1714"/>
    <mergeCell ref="A1716:E1716"/>
    <mergeCell ref="A1726:E1726"/>
    <mergeCell ref="A1744:E1744"/>
    <mergeCell ref="A1762:E1762"/>
    <mergeCell ref="B1727:B1743"/>
    <mergeCell ref="A1600:E1600"/>
    <mergeCell ref="A1632:E1632"/>
    <mergeCell ref="A1672:E1672"/>
    <mergeCell ref="A1710:E1710"/>
    <mergeCell ref="A1537:E1537"/>
    <mergeCell ref="A1398:E1398"/>
    <mergeCell ref="A1432:D1432"/>
    <mergeCell ref="A1497:E1497"/>
    <mergeCell ref="B1399:B1431"/>
    <mergeCell ref="A1330:E1330"/>
    <mergeCell ref="B1291:B1309"/>
    <mergeCell ref="A1310:E1310"/>
    <mergeCell ref="B1311:B1316"/>
    <mergeCell ref="A1317:E1317"/>
    <mergeCell ref="B1318:B1321"/>
    <mergeCell ref="B1254:B1256"/>
    <mergeCell ref="A1257:E1257"/>
    <mergeCell ref="A1259:E1259"/>
    <mergeCell ref="B1260:B1289"/>
    <mergeCell ref="A1322:E1322"/>
    <mergeCell ref="A1246:E1246"/>
    <mergeCell ref="B1247:B1248"/>
    <mergeCell ref="A1249:E1249"/>
    <mergeCell ref="B1250:B1252"/>
    <mergeCell ref="B1223:B1236"/>
    <mergeCell ref="A1237:E1237"/>
    <mergeCell ref="B1238:B1245"/>
    <mergeCell ref="A1176:E1176"/>
    <mergeCell ref="A1195:E1195"/>
    <mergeCell ref="B1196:B1214"/>
    <mergeCell ref="A1215:E1215"/>
    <mergeCell ref="B1216:B1221"/>
    <mergeCell ref="B1177:B1194"/>
    <mergeCell ref="A1222:E1222"/>
    <mergeCell ref="A1162:E1162"/>
    <mergeCell ref="B1163:B1172"/>
    <mergeCell ref="B1174:B1175"/>
    <mergeCell ref="A1173:D1173"/>
    <mergeCell ref="A1152:E1152"/>
    <mergeCell ref="A1157:E1157"/>
    <mergeCell ref="B1158:B1161"/>
    <mergeCell ref="B1153:B1156"/>
    <mergeCell ref="A1133:E1133"/>
    <mergeCell ref="A1140:E1140"/>
    <mergeCell ref="A1146:E1146"/>
    <mergeCell ref="B1147:B1151"/>
    <mergeCell ref="B1134:B1139"/>
    <mergeCell ref="B1141:B1145"/>
    <mergeCell ref="A1071:E1071"/>
    <mergeCell ref="A1101:E1101"/>
    <mergeCell ref="A1130:E1130"/>
    <mergeCell ref="B1015:B1034"/>
    <mergeCell ref="A1035:D1035"/>
    <mergeCell ref="A1036:D1036"/>
    <mergeCell ref="A1037:D1037"/>
    <mergeCell ref="A40:D40"/>
    <mergeCell ref="A48:D48"/>
    <mergeCell ref="A52:D52"/>
    <mergeCell ref="B41:B47"/>
    <mergeCell ref="B49:B51"/>
    <mergeCell ref="A995:D995"/>
    <mergeCell ref="B996:B1011"/>
    <mergeCell ref="A1012:D1012"/>
    <mergeCell ref="A1013:D1013"/>
    <mergeCell ref="A1014:D1014"/>
    <mergeCell ref="A981:D981"/>
    <mergeCell ref="A982:D982"/>
    <mergeCell ref="B983:B992"/>
    <mergeCell ref="A993:D993"/>
    <mergeCell ref="A994:D994"/>
    <mergeCell ref="A957:D957"/>
    <mergeCell ref="A958:D958"/>
    <mergeCell ref="A959:D959"/>
    <mergeCell ref="B960:B979"/>
    <mergeCell ref="A980:D980"/>
    <mergeCell ref="B921:B932"/>
    <mergeCell ref="A933:D933"/>
    <mergeCell ref="A934:D934"/>
    <mergeCell ref="A935:D935"/>
    <mergeCell ref="B936:B956"/>
    <mergeCell ref="A897:D897"/>
    <mergeCell ref="B898:B917"/>
    <mergeCell ref="A918:D918"/>
    <mergeCell ref="A919:D919"/>
    <mergeCell ref="A920:D920"/>
    <mergeCell ref="A873:D873"/>
    <mergeCell ref="A874:D874"/>
    <mergeCell ref="B875:B894"/>
    <mergeCell ref="A895:D895"/>
    <mergeCell ref="A896:D896"/>
    <mergeCell ref="A844:D844"/>
    <mergeCell ref="A845:D845"/>
    <mergeCell ref="A846:D846"/>
    <mergeCell ref="B847:B871"/>
    <mergeCell ref="A872:D872"/>
    <mergeCell ref="B818:B826"/>
    <mergeCell ref="A827:D827"/>
    <mergeCell ref="A828:D828"/>
    <mergeCell ref="A829:D829"/>
    <mergeCell ref="B830:B843"/>
    <mergeCell ref="A800:D800"/>
    <mergeCell ref="B801:B814"/>
    <mergeCell ref="A815:D815"/>
    <mergeCell ref="A816:D816"/>
    <mergeCell ref="A817:D817"/>
    <mergeCell ref="A781:D781"/>
    <mergeCell ref="A782:D782"/>
    <mergeCell ref="B783:B797"/>
    <mergeCell ref="A798:D798"/>
    <mergeCell ref="A799:D799"/>
    <mergeCell ref="A758:D758"/>
    <mergeCell ref="A759:D759"/>
    <mergeCell ref="A760:D760"/>
    <mergeCell ref="B761:B779"/>
    <mergeCell ref="A780:D780"/>
    <mergeCell ref="B724:B731"/>
    <mergeCell ref="A732:D732"/>
    <mergeCell ref="A733:D733"/>
    <mergeCell ref="A734:D734"/>
    <mergeCell ref="B735:B757"/>
    <mergeCell ref="A700:D700"/>
    <mergeCell ref="B701:B720"/>
    <mergeCell ref="A721:D721"/>
    <mergeCell ref="A722:D722"/>
    <mergeCell ref="A723:D723"/>
    <mergeCell ref="A679:D679"/>
    <mergeCell ref="A680:D680"/>
    <mergeCell ref="B681:B697"/>
    <mergeCell ref="A698:D698"/>
    <mergeCell ref="A699:D699"/>
    <mergeCell ref="A657:D657"/>
    <mergeCell ref="A658:D658"/>
    <mergeCell ref="A659:D659"/>
    <mergeCell ref="B660:B677"/>
    <mergeCell ref="A678:D678"/>
    <mergeCell ref="B612:B626"/>
    <mergeCell ref="A627:D627"/>
    <mergeCell ref="A628:D628"/>
    <mergeCell ref="A629:D629"/>
    <mergeCell ref="B630:B656"/>
    <mergeCell ref="A595:D595"/>
    <mergeCell ref="B596:B608"/>
    <mergeCell ref="A609:D609"/>
    <mergeCell ref="A610:D610"/>
    <mergeCell ref="A611:D611"/>
    <mergeCell ref="A571:D571"/>
    <mergeCell ref="A572:D572"/>
    <mergeCell ref="B573:B592"/>
    <mergeCell ref="A593:D593"/>
    <mergeCell ref="A594:D594"/>
    <mergeCell ref="A553:D553"/>
    <mergeCell ref="A554:D554"/>
    <mergeCell ref="A555:D555"/>
    <mergeCell ref="B556:B569"/>
    <mergeCell ref="A570:D570"/>
    <mergeCell ref="B521:B541"/>
    <mergeCell ref="A542:D542"/>
    <mergeCell ref="A543:D543"/>
    <mergeCell ref="A544:D544"/>
    <mergeCell ref="B545:B552"/>
    <mergeCell ref="A503:D503"/>
    <mergeCell ref="B504:B517"/>
    <mergeCell ref="A518:D518"/>
    <mergeCell ref="A519:D519"/>
    <mergeCell ref="A520:D520"/>
    <mergeCell ref="A479:D479"/>
    <mergeCell ref="A480:D480"/>
    <mergeCell ref="B481:B500"/>
    <mergeCell ref="A501:D501"/>
    <mergeCell ref="A502:D502"/>
    <mergeCell ref="A464:D464"/>
    <mergeCell ref="A465:D465"/>
    <mergeCell ref="A466:D466"/>
    <mergeCell ref="B467:B477"/>
    <mergeCell ref="A478:D478"/>
    <mergeCell ref="B430:B450"/>
    <mergeCell ref="A451:D451"/>
    <mergeCell ref="A452:D452"/>
    <mergeCell ref="A453:D453"/>
    <mergeCell ref="B454:B463"/>
    <mergeCell ref="A422:D422"/>
    <mergeCell ref="B423:B426"/>
    <mergeCell ref="A427:D427"/>
    <mergeCell ref="A428:D428"/>
    <mergeCell ref="A429:D429"/>
    <mergeCell ref="A393:D393"/>
    <mergeCell ref="A394:D394"/>
    <mergeCell ref="B395:B419"/>
    <mergeCell ref="A420:D420"/>
    <mergeCell ref="A421:D421"/>
    <mergeCell ref="A373:D373"/>
    <mergeCell ref="A374:D374"/>
    <mergeCell ref="A375:D375"/>
    <mergeCell ref="B376:B391"/>
    <mergeCell ref="A392:D392"/>
    <mergeCell ref="B347:B357"/>
    <mergeCell ref="A358:D358"/>
    <mergeCell ref="A359:D359"/>
    <mergeCell ref="A360:D360"/>
    <mergeCell ref="B361:B372"/>
    <mergeCell ref="A321:D321"/>
    <mergeCell ref="B322:B343"/>
    <mergeCell ref="A344:D344"/>
    <mergeCell ref="A345:D345"/>
    <mergeCell ref="A346:D346"/>
    <mergeCell ref="A311:D311"/>
    <mergeCell ref="A312:D312"/>
    <mergeCell ref="B313:B318"/>
    <mergeCell ref="A319:D319"/>
    <mergeCell ref="A320:D320"/>
    <mergeCell ref="A283:D283"/>
    <mergeCell ref="A284:D284"/>
    <mergeCell ref="A285:D285"/>
    <mergeCell ref="B286:B309"/>
    <mergeCell ref="A310:D310"/>
    <mergeCell ref="B272:B274"/>
    <mergeCell ref="A275:D275"/>
    <mergeCell ref="A276:D276"/>
    <mergeCell ref="A277:D277"/>
    <mergeCell ref="B278:B282"/>
    <mergeCell ref="A266:D266"/>
    <mergeCell ref="B267:B268"/>
    <mergeCell ref="A269:D269"/>
    <mergeCell ref="A270:D270"/>
    <mergeCell ref="A271:D271"/>
    <mergeCell ref="A260:D260"/>
    <mergeCell ref="A261:D261"/>
    <mergeCell ref="B262:B263"/>
    <mergeCell ref="A264:D264"/>
    <mergeCell ref="A265:D265"/>
    <mergeCell ref="B253:B254"/>
    <mergeCell ref="A255:D255"/>
    <mergeCell ref="A256:D256"/>
    <mergeCell ref="A257:D257"/>
    <mergeCell ref="A259:D259"/>
    <mergeCell ref="A243:D243"/>
    <mergeCell ref="B244:B249"/>
    <mergeCell ref="A250:D250"/>
    <mergeCell ref="A251:D251"/>
    <mergeCell ref="A252:D252"/>
    <mergeCell ref="A235:D235"/>
    <mergeCell ref="A236:D236"/>
    <mergeCell ref="B237:B240"/>
    <mergeCell ref="A241:D241"/>
    <mergeCell ref="A242:D242"/>
    <mergeCell ref="B226:B229"/>
    <mergeCell ref="A230:D230"/>
    <mergeCell ref="A231:D231"/>
    <mergeCell ref="A232:D232"/>
    <mergeCell ref="A234:D234"/>
    <mergeCell ref="A214:D214"/>
    <mergeCell ref="B215:B222"/>
    <mergeCell ref="A223:D223"/>
    <mergeCell ref="A224:D224"/>
    <mergeCell ref="A225:D225"/>
    <mergeCell ref="A207:D207"/>
    <mergeCell ref="A208:D208"/>
    <mergeCell ref="B209:B211"/>
    <mergeCell ref="A212:D212"/>
    <mergeCell ref="A213:D213"/>
    <mergeCell ref="A200:D200"/>
    <mergeCell ref="A201:D201"/>
    <mergeCell ref="A202:D202"/>
    <mergeCell ref="B203:B205"/>
    <mergeCell ref="A206:D206"/>
    <mergeCell ref="A193:D193"/>
    <mergeCell ref="A194:D194"/>
    <mergeCell ref="A196:D196"/>
    <mergeCell ref="A197:D197"/>
    <mergeCell ref="A198:D198"/>
    <mergeCell ref="A187:D187"/>
    <mergeCell ref="A188:D188"/>
    <mergeCell ref="A189:D189"/>
    <mergeCell ref="B190:B191"/>
    <mergeCell ref="A192:D192"/>
    <mergeCell ref="A176:D176"/>
    <mergeCell ref="B177:B182"/>
    <mergeCell ref="A183:D183"/>
    <mergeCell ref="A184:D184"/>
    <mergeCell ref="A185:D185"/>
    <mergeCell ref="A168:D168"/>
    <mergeCell ref="A169:D169"/>
    <mergeCell ref="B170:B173"/>
    <mergeCell ref="A174:D174"/>
    <mergeCell ref="A175:D175"/>
    <mergeCell ref="A158:D158"/>
    <mergeCell ref="A159:D159"/>
    <mergeCell ref="A160:D160"/>
    <mergeCell ref="B161:B166"/>
    <mergeCell ref="A167:D167"/>
    <mergeCell ref="B147:B149"/>
    <mergeCell ref="A150:D150"/>
    <mergeCell ref="A151:D151"/>
    <mergeCell ref="A152:D152"/>
    <mergeCell ref="B153:B157"/>
    <mergeCell ref="A141:D141"/>
    <mergeCell ref="B142:B143"/>
    <mergeCell ref="A144:D144"/>
    <mergeCell ref="A145:D145"/>
    <mergeCell ref="A146:D146"/>
    <mergeCell ref="A135:D135"/>
    <mergeCell ref="A136:D136"/>
    <mergeCell ref="B137:B138"/>
    <mergeCell ref="A139:D139"/>
    <mergeCell ref="A140:D140"/>
    <mergeCell ref="B128:B129"/>
    <mergeCell ref="A130:D130"/>
    <mergeCell ref="A131:D131"/>
    <mergeCell ref="A132:D132"/>
    <mergeCell ref="A134:D134"/>
    <mergeCell ref="A120:D120"/>
    <mergeCell ref="B121:B124"/>
    <mergeCell ref="A125:D125"/>
    <mergeCell ref="A126:D126"/>
    <mergeCell ref="A127:D127"/>
    <mergeCell ref="A114:D114"/>
    <mergeCell ref="A115:D115"/>
    <mergeCell ref="B116:B117"/>
    <mergeCell ref="A118:D118"/>
    <mergeCell ref="A119:D119"/>
    <mergeCell ref="A107:D107"/>
    <mergeCell ref="A108:D108"/>
    <mergeCell ref="A109:D109"/>
    <mergeCell ref="B110:B112"/>
    <mergeCell ref="A113:D113"/>
    <mergeCell ref="A100:D100"/>
    <mergeCell ref="B101:B102"/>
    <mergeCell ref="A103:D103"/>
    <mergeCell ref="A104:D104"/>
    <mergeCell ref="A105:D105"/>
    <mergeCell ref="A94:D94"/>
    <mergeCell ref="A95:D95"/>
    <mergeCell ref="B96:B97"/>
    <mergeCell ref="A98:D98"/>
    <mergeCell ref="A99:D99"/>
    <mergeCell ref="A86:D86"/>
    <mergeCell ref="A87:D87"/>
    <mergeCell ref="A88:D88"/>
    <mergeCell ref="B89:B92"/>
    <mergeCell ref="A93:D93"/>
    <mergeCell ref="B76:B79"/>
    <mergeCell ref="A80:D80"/>
    <mergeCell ref="A81:D81"/>
    <mergeCell ref="A82:D82"/>
    <mergeCell ref="B83:B85"/>
    <mergeCell ref="A75:D75"/>
    <mergeCell ref="A2:K4"/>
    <mergeCell ref="C6:C7"/>
    <mergeCell ref="E5:E7"/>
    <mergeCell ref="F5:F7"/>
    <mergeCell ref="G5:J5"/>
    <mergeCell ref="H6:I6"/>
    <mergeCell ref="G6:G7"/>
    <mergeCell ref="J6:J7"/>
    <mergeCell ref="K5:K7"/>
    <mergeCell ref="A5:A7"/>
    <mergeCell ref="B5:B7"/>
    <mergeCell ref="A61:D61"/>
    <mergeCell ref="A62:D62"/>
    <mergeCell ref="B63:B67"/>
    <mergeCell ref="A68:D68"/>
    <mergeCell ref="A69:D69"/>
    <mergeCell ref="A11:C11"/>
    <mergeCell ref="C5:D5"/>
    <mergeCell ref="D6:D7"/>
    <mergeCell ref="A9:K9"/>
    <mergeCell ref="A55:D55"/>
    <mergeCell ref="A56:D56"/>
    <mergeCell ref="A57:D57"/>
    <mergeCell ref="A74:D74"/>
    <mergeCell ref="B58:B59"/>
    <mergeCell ref="A60:D60"/>
    <mergeCell ref="B12:B14"/>
    <mergeCell ref="B53:B54"/>
    <mergeCell ref="B16:B39"/>
    <mergeCell ref="A15:D15"/>
    <mergeCell ref="A70:D70"/>
    <mergeCell ref="B71:B72"/>
    <mergeCell ref="A73:D73"/>
  </mergeCells>
  <phoneticPr fontId="5" type="noConversion"/>
  <pageMargins left="0.7" right="0.7" top="0.75" bottom="0.75" header="0.3" footer="0.3"/>
  <pageSetup paperSize="9" scale="71" fitToHeight="0" orientation="landscape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(44-ФЗ)</vt:lpstr>
      <vt:lpstr>'Приложение 1 (44-ФЗ)'!Заголовки_для_печати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Белоусова Эльвира</dc:creator>
  <cp:lastModifiedBy>User</cp:lastModifiedBy>
  <cp:lastPrinted>2022-03-21T11:33:01Z</cp:lastPrinted>
  <dcterms:created xsi:type="dcterms:W3CDTF">2015-06-05T18:19:34Z</dcterms:created>
  <dcterms:modified xsi:type="dcterms:W3CDTF">2022-03-22T08:59:17Z</dcterms:modified>
</cp:coreProperties>
</file>