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0" yWindow="10980" windowWidth="1980" windowHeight="1170" tabRatio="518"/>
  </bookViews>
  <sheets>
    <sheet name="на 01.12.2016" sheetId="1" r:id="rId1"/>
  </sheets>
  <definedNames>
    <definedName name="_xlnm._FilterDatabase" localSheetId="0" hidden="1">'на 01.12.2016'!$A$7:$P$404</definedName>
    <definedName name="Z_0217F586_7BE2_4803_B88F_1646729DF76E_.wvu.FilterData" localSheetId="0" hidden="1">'на 01.12.2016'!$A$7:$P$404</definedName>
    <definedName name="Z_02D2F435_66DA_468E_987B_F2AECDDD4E3B_.wvu.FilterData" localSheetId="0" hidden="1">'на 01.12.2016'!$A$7:$P$404</definedName>
    <definedName name="Z_040F7A53_882C_426B_A971_3BA4E7F819F6_.wvu.FilterData" localSheetId="0" hidden="1">'на 01.12.2016'!$A$7:$K$146</definedName>
    <definedName name="Z_05C1E2BB_B583_44DD_A8AC_FBF87A053735_.wvu.FilterData" localSheetId="0" hidden="1">'на 01.12.2016'!$A$7:$K$146</definedName>
    <definedName name="Z_05C9DD0B_EBEE_40E7_A642_8B2CDCC810BA_.wvu.FilterData" localSheetId="0" hidden="1">'на 01.12.2016'!$A$7:$K$146</definedName>
    <definedName name="Z_0623BA59_06E0_47C4_A9E0_EFF8949456C2_.wvu.FilterData" localSheetId="0" hidden="1">'на 01.12.2016'!$A$7:$K$146</definedName>
    <definedName name="Z_0644E522_2545_474C_824A_2ED6C2798897_.wvu.FilterData" localSheetId="0" hidden="1">'на 01.12.2016'!$A$7:$P$404</definedName>
    <definedName name="Z_071188D9_4773_41E2_8227_482316F94E22_.wvu.FilterData" localSheetId="0" hidden="1">'на 01.12.2016'!$A$7:$P$404</definedName>
    <definedName name="Z_079216EF_F396_45DE_93AA_DF26C49F532F_.wvu.FilterData" localSheetId="0" hidden="1">'на 01.12.2016'!$A$7:$K$146</definedName>
    <definedName name="Z_081D092E_BCFD_434D_99DD_F262EBF81A7D_.wvu.FilterData" localSheetId="0" hidden="1">'на 01.12.2016'!$A$7:$K$146</definedName>
    <definedName name="Z_081D1E71_FAB1_490F_8347_4363E467A6B8_.wvu.FilterData" localSheetId="0" hidden="1">'на 01.12.2016'!$A$7:$P$404</definedName>
    <definedName name="Z_09EDEF91_2CA5_4F56_B67B_9D290C461670_.wvu.FilterData" localSheetId="0" hidden="1">'на 01.12.2016'!$A$7:$K$146</definedName>
    <definedName name="Z_0AC3FA68_E0C8_4657_AD81_AF6345EA501C_.wvu.FilterData" localSheetId="0" hidden="1">'на 01.12.2016'!$A$7:$K$146</definedName>
    <definedName name="Z_0B579593_C56D_4394_91C1_F024BBE56EB1_.wvu.FilterData" localSheetId="0" hidden="1">'на 01.12.2016'!$A$7:$K$146</definedName>
    <definedName name="Z_0BC55D76_817D_4871_ADFD_780685E85798_.wvu.FilterData" localSheetId="0" hidden="1">'на 01.12.2016'!$A$7:$P$404</definedName>
    <definedName name="Z_0C6B39CB_8BE2_4437_B7EF_2B863FB64A7A_.wvu.FilterData" localSheetId="0" hidden="1">'на 01.12.2016'!$A$7:$K$146</definedName>
    <definedName name="Z_0C81132D_0EFB_424B_A2C0_D694846C9416_.wvu.FilterData" localSheetId="0" hidden="1">'на 01.12.2016'!$A$7:$P$404</definedName>
    <definedName name="Z_0C8C20D3_1DCE_4FE1_95B1_F35D8D398254_.wvu.FilterData" localSheetId="0" hidden="1">'на 01.12.2016'!$A$7:$K$146</definedName>
    <definedName name="Z_0CC9441C_88E9_46D0_951D_A49C84EDA8CE_.wvu.FilterData" localSheetId="0" hidden="1">'на 01.12.2016'!$A$7:$P$404</definedName>
    <definedName name="Z_0CF3E93E_60F6_45C8_AD33_C2CE08831546_.wvu.FilterData" localSheetId="0" hidden="1">'на 01.12.2016'!$A$7:$K$146</definedName>
    <definedName name="Z_0D69C398_7947_4D78_B1FE_A2A25AB79E10_.wvu.FilterData" localSheetId="0" hidden="1">'на 01.12.2016'!$A$7:$P$404</definedName>
    <definedName name="Z_0D7F5190_D20E_42FD_AD77_53CB309C7272_.wvu.FilterData" localSheetId="0" hidden="1">'на 01.12.2016'!$A$7:$K$146</definedName>
    <definedName name="Z_0E6786D8_AC3A_48D5_9AD7_4E7485DB6D9C_.wvu.FilterData" localSheetId="0" hidden="1">'на 01.12.2016'!$A$7:$K$146</definedName>
    <definedName name="Z_105D23B5_3830_4B2C_A4D4_FBFBD3BEFB9C_.wvu.FilterData" localSheetId="0" hidden="1">'на 01.12.2016'!$A$7:$K$146</definedName>
    <definedName name="Z_113A0779_204C_451B_8401_73E507046130_.wvu.FilterData" localSheetId="0" hidden="1">'на 01.12.2016'!$A$7:$P$404</definedName>
    <definedName name="Z_11EBBD1F_0821_4763_A781_80F95B559C64_.wvu.FilterData" localSheetId="0" hidden="1">'на 01.12.2016'!$A$7:$P$404</definedName>
    <definedName name="Z_12397037_6208_4B36_BC95_11438284A9DE_.wvu.FilterData" localSheetId="0" hidden="1">'на 01.12.2016'!$A$7:$K$146</definedName>
    <definedName name="Z_130C16AD_E930_4810_BDF0_A6DD3A87B8D5_.wvu.FilterData" localSheetId="0" hidden="1">'на 01.12.2016'!$A$7:$P$404</definedName>
    <definedName name="Z_1315266B_953C_4E7F_B538_74B6DF400647_.wvu.FilterData" localSheetId="0" hidden="1">'на 01.12.2016'!$A$7:$K$146</definedName>
    <definedName name="Z_13E7ADA2_058C_4412_9AEA_31547694DD5C_.wvu.FilterData" localSheetId="0" hidden="1">'на 01.12.2016'!$A$7:$K$146</definedName>
    <definedName name="Z_1474826F_81A7_45CE_9E32_539008BC6006_.wvu.FilterData" localSheetId="0" hidden="1">'на 01.12.2016'!$A$7:$P$404</definedName>
    <definedName name="Z_158130B9_9537_4E7D_AC4C_ED389C9B13A6_.wvu.FilterData" localSheetId="0" hidden="1">'на 01.12.2016'!$A$7:$P$404</definedName>
    <definedName name="Z_15AF9AFF_36E4_41C3_A9EA_A83C0A87FA00_.wvu.FilterData" localSheetId="0" hidden="1">'на 01.12.2016'!$A$7:$P$404</definedName>
    <definedName name="Z_16533C21_4A9A_450C_8A94_553B88C3A9CF_.wvu.FilterData" localSheetId="0" hidden="1">'на 01.12.2016'!$A$7:$K$146</definedName>
    <definedName name="Z_1682CF4C_6BE2_4E45_A613_382D117E51BF_.wvu.FilterData" localSheetId="0" hidden="1">'на 01.12.2016'!$A$7:$P$404</definedName>
    <definedName name="Z_168FD5D4_D13B_47B9_8E56_61C627E3620F_.wvu.FilterData" localSheetId="0" hidden="1">'на 01.12.2016'!$A$7:$K$146</definedName>
    <definedName name="Z_176FBEC7_B2AF_4702_A894_382F81F9ECF6_.wvu.FilterData" localSheetId="0" hidden="1">'на 01.12.2016'!$A$7:$K$146</definedName>
    <definedName name="Z_17AEC02B_67B1_483A_97D2_C1C6DFD21518_.wvu.FilterData" localSheetId="0" hidden="1">'на 01.12.2016'!$A$7:$P$404</definedName>
    <definedName name="Z_1902C2E4_C521_44EB_B934_0EBD6E871DD8_.wvu.FilterData" localSheetId="0" hidden="1">'на 01.12.2016'!$A$7:$P$404</definedName>
    <definedName name="Z_191D2631_8F19_4FC0_96A1_F397D331A068_.wvu.FilterData" localSheetId="0" hidden="1">'на 01.12.2016'!$A$7:$P$404</definedName>
    <definedName name="Z_19510E6E_7565_4AC2_BCB4_A345501456B6_.wvu.FilterData" localSheetId="0" hidden="1">'на 01.12.2016'!$A$7:$K$146</definedName>
    <definedName name="Z_1ADD4354_436F_41C7_AFD6_B73FA2D9BC20_.wvu.FilterData" localSheetId="0" hidden="1">'на 01.12.2016'!$A$7:$P$404</definedName>
    <definedName name="Z_1B413C41_F5DB_4793_803B_D278F6A0BE2C_.wvu.FilterData" localSheetId="0" hidden="1">'на 01.12.2016'!$A$7:$P$404</definedName>
    <definedName name="Z_1B943BCB_9609_428B_963E_E25F01748D7C_.wvu.FilterData" localSheetId="0" hidden="1">'на 01.12.2016'!$A$7:$P$404</definedName>
    <definedName name="Z_1BA0A829_1467_4894_A294_9BFD1EA8F94D_.wvu.FilterData" localSheetId="0" hidden="1">'на 01.12.2016'!$A$7:$P$404</definedName>
    <definedName name="Z_1C384A54_E3F0_4C1E_862E_6CD9154B364F_.wvu.FilterData" localSheetId="0" hidden="1">'на 01.12.2016'!$A$7:$P$404</definedName>
    <definedName name="Z_1C3DF549_BEC3_47F7_8F0B_A96D42597ECF_.wvu.FilterData" localSheetId="0" hidden="1">'на 01.12.2016'!$A$7:$K$146</definedName>
    <definedName name="Z_1C681B2A_8932_44D9_BF50_EA5DBCC10436_.wvu.FilterData" localSheetId="0" hidden="1">'на 01.12.2016'!$A$7:$K$146</definedName>
    <definedName name="Z_1CB5C523_AFA5_43A8_9C28_9F12CFE5BE65_.wvu.FilterData" localSheetId="0" hidden="1">'на 01.12.2016'!$A$7:$P$404</definedName>
    <definedName name="Z_1CEF9102_6C60_416B_8820_19DA6CA2FF8F_.wvu.FilterData" localSheetId="0" hidden="1">'на 01.12.2016'!$A$7:$P$404</definedName>
    <definedName name="Z_1D2C2901_70D8_494F_B885_AA5F7F9A1D2E_.wvu.FilterData" localSheetId="0" hidden="1">'на 01.12.2016'!$A$7:$P$404</definedName>
    <definedName name="Z_1F274A4D_4DCC_44CA_A1BD_90B7EE180486_.wvu.FilterData" localSheetId="0" hidden="1">'на 01.12.2016'!$A$7:$K$146</definedName>
    <definedName name="Z_1F6B5B08_FAE9_43CF_A27B_EE7ACD6D4DF6_.wvu.FilterData" localSheetId="0" hidden="1">'на 01.12.2016'!$A$7:$P$404</definedName>
    <definedName name="Z_1F885BC0_FA2D_45E9_BC66_C7BA68F6529B_.wvu.FilterData" localSheetId="0" hidden="1">'на 01.12.2016'!$A$7:$P$404</definedName>
    <definedName name="Z_1FF678B1_7F2B_4362_81E7_D3C79ED64B95_.wvu.FilterData" localSheetId="0" hidden="1">'на 01.12.2016'!$A$7:$K$146</definedName>
    <definedName name="Z_216AEA56_C079_4104_83C7_B22F3C2C4895_.wvu.FilterData" localSheetId="0" hidden="1">'на 01.12.2016'!$A$7:$K$146</definedName>
    <definedName name="Z_2181C7D4_AA52_40AC_A808_5D532F9A4DB9_.wvu.FilterData" localSheetId="0" hidden="1">'на 01.12.2016'!$A$7:$K$146</definedName>
    <definedName name="Z_222CB208_6EE7_4ACF_9056_A80606B8DEAE_.wvu.FilterData" localSheetId="0" hidden="1">'на 01.12.2016'!$A$7:$P$404</definedName>
    <definedName name="Z_22A3361C_6866_4206_B8FA_E848438D95B8_.wvu.FilterData" localSheetId="0" hidden="1">'на 01.12.2016'!$A$7:$K$146</definedName>
    <definedName name="Z_23D71F5A_A534_4F07_942A_44ED3D76C570_.wvu.FilterData" localSheetId="0" hidden="1">'на 01.12.2016'!$A$7:$P$404</definedName>
    <definedName name="Z_246D425F_E7DE_4F74_93E1_1CA6487BB7AF_.wvu.FilterData" localSheetId="0" hidden="1">'на 01.12.2016'!$A$7:$P$404</definedName>
    <definedName name="Z_24D1D1DF_90B3_41D1_82E1_05DE887CC58D_.wvu.FilterData" localSheetId="0" hidden="1">'на 01.12.2016'!$A$7:$K$146</definedName>
    <definedName name="Z_24E5C1BC_322C_4FEF_B964_F0DCC04482C1_.wvu.Cols" localSheetId="0" hidden="1">'на 01.12.2016'!#REF!,'на 01.12.2016'!#REF!</definedName>
    <definedName name="Z_24E5C1BC_322C_4FEF_B964_F0DCC04482C1_.wvu.FilterData" localSheetId="0" hidden="1">'на 01.12.2016'!$A$7:$K$146</definedName>
    <definedName name="Z_24E5C1BC_322C_4FEF_B964_F0DCC04482C1_.wvu.Rows" localSheetId="0" hidden="1">'на 01.12.2016'!#REF!</definedName>
    <definedName name="Z_26E7CD7D_71FD_4075_B268_E6444384CE7D_.wvu.FilterData" localSheetId="0" hidden="1">'на 01.12.2016'!$A$7:$K$146</definedName>
    <definedName name="Z_2751B79E_F60F_449F_9B1A_ED01F0EE4A3F_.wvu.FilterData" localSheetId="0" hidden="1">'на 01.12.2016'!$A$7:$P$404</definedName>
    <definedName name="Z_28008BE5_0693_468D_890E_2AE562EDDFCA_.wvu.FilterData" localSheetId="0" hidden="1">'на 01.12.2016'!$A$7:$K$146</definedName>
    <definedName name="Z_282F013D_E5B1_4C17_8727_7949891CEFC8_.wvu.FilterData" localSheetId="0" hidden="1">'на 01.12.2016'!$A$7:$P$404</definedName>
    <definedName name="Z_2B4EF399_1F78_4650_9196_70339D27DB54_.wvu.FilterData" localSheetId="0" hidden="1">'на 01.12.2016'!$A$7:$P$404</definedName>
    <definedName name="Z_2B67E997_66AF_4883_9EE5_9876648FDDE9_.wvu.FilterData" localSheetId="0" hidden="1">'на 01.12.2016'!$A$7:$P$404</definedName>
    <definedName name="Z_2C029299_5EEC_4151_A9E2_241D31E08692_.wvu.FilterData" localSheetId="0" hidden="1">'на 01.12.2016'!$A$7:$P$404</definedName>
    <definedName name="Z_2C47EAD7_6B0B_40AB_9599_0BF3302E35F1_.wvu.FilterData" localSheetId="0" hidden="1">'на 01.12.2016'!$A$7:$K$146</definedName>
    <definedName name="Z_2CD18B03_71F5_4B8A_8C6C_592F5A66335B_.wvu.FilterData" localSheetId="0" hidden="1">'на 01.12.2016'!$A$7:$P$404</definedName>
    <definedName name="Z_2D011736_53B8_48A8_8C2E_71DD995F6546_.wvu.FilterData" localSheetId="0" hidden="1">'на 01.12.2016'!$A$7:$P$404</definedName>
    <definedName name="Z_2D540280_F40F_4530_A32A_1FF2E78E7147_.wvu.FilterData" localSheetId="0" hidden="1">'на 01.12.2016'!$A$7:$P$404</definedName>
    <definedName name="Z_2D918A37_6905_4BEF_BC3A_DA45E968DAC3_.wvu.FilterData" localSheetId="0" hidden="1">'на 01.12.2016'!$A$7:$K$146</definedName>
    <definedName name="Z_2DF88C31_E5A0_4DFE_877D_5A31D3992603_.wvu.Rows" localSheetId="0" hidden="1">'на 01.12.2016'!#REF!,'на 01.12.2016'!#REF!,'на 01.12.2016'!#REF!,'на 01.12.2016'!#REF!,'на 01.12.2016'!#REF!,'на 01.12.2016'!#REF!,'на 01.12.2016'!#REF!,'на 01.12.2016'!#REF!,'на 01.12.2016'!#REF!,'на 01.12.2016'!#REF!,'на 01.12.2016'!#REF!</definedName>
    <definedName name="Z_2F3BAFC5_8792_4BC0_833F_5CB9ACB14A14_.wvu.FilterData" localSheetId="0" hidden="1">'на 01.12.2016'!$A$7:$K$146</definedName>
    <definedName name="Z_2F7AC811_CA37_46E3_866E_6E10DF43054A_.wvu.FilterData" localSheetId="0" hidden="1">'на 01.12.2016'!$A$7:$P$404</definedName>
    <definedName name="Z_300D3722_BC5B_4EFC_A306_CB3461E96075_.wvu.FilterData" localSheetId="0" hidden="1">'на 01.12.2016'!$A$7:$P$404</definedName>
    <definedName name="Z_30F94082_E7C8_4DE7_AE26_19B3A4317363_.wvu.FilterData" localSheetId="0" hidden="1">'на 01.12.2016'!$A$7:$P$404</definedName>
    <definedName name="Z_315B3829_E75D_48BB_A407_88A96C0D6A4B_.wvu.FilterData" localSheetId="0" hidden="1">'на 01.12.2016'!$A$7:$P$404</definedName>
    <definedName name="Z_31985263_3556_4B71_A26F_62706F49B320_.wvu.FilterData" localSheetId="0" hidden="1">'на 01.12.2016'!$A$7:$K$146</definedName>
    <definedName name="Z_31EABA3C_DD8D_46BF_85B1_09527EF8E816_.wvu.FilterData" localSheetId="0" hidden="1">'на 01.12.2016'!$A$7:$K$146</definedName>
    <definedName name="Z_328B1FBD_B9E0_4F8C_AA1F_438ED0F19823_.wvu.FilterData" localSheetId="0" hidden="1">'на 01.12.2016'!$A$7:$P$404</definedName>
    <definedName name="Z_33081AFE_875F_4448_8DBB_C2288E582829_.wvu.FilterData" localSheetId="0" hidden="1">'на 01.12.2016'!$A$7:$P$404</definedName>
    <definedName name="Z_34587A22_A707_48EC_A6D8_8CA0D443CB5A_.wvu.FilterData" localSheetId="0" hidden="1">'на 01.12.2016'!$A$7:$P$404</definedName>
    <definedName name="Z_34E97F8E_B808_4C29_AFA8_24160BA8B576_.wvu.FilterData" localSheetId="0" hidden="1">'на 01.12.2016'!$A$7:$K$146</definedName>
    <definedName name="Z_354643EC_374D_4252_A3BA_624B9338CCF6_.wvu.FilterData" localSheetId="0" hidden="1">'на 01.12.2016'!$A$7:$P$404</definedName>
    <definedName name="Z_356902C5_CBA1_407E_849C_39B6CAAFCD34_.wvu.FilterData" localSheetId="0" hidden="1">'на 01.12.2016'!$A$7:$P$404</definedName>
    <definedName name="Z_3597F15D_13FB_47E4_B2D7_0713796F1B32_.wvu.FilterData" localSheetId="0" hidden="1">'на 01.12.2016'!$A$7:$K$146</definedName>
    <definedName name="Z_36279478_DEDD_46A7_8B6D_9500CB65A35C_.wvu.FilterData" localSheetId="0" hidden="1">'на 01.12.2016'!$A$7:$K$146</definedName>
    <definedName name="Z_36282042_958F_4D98_9515_9E9271F26AA2_.wvu.FilterData" localSheetId="0" hidden="1">'на 01.12.2016'!$A$7:$K$146</definedName>
    <definedName name="Z_36AEB3FF_FCBC_4E21_8EFE_F20781816ED3_.wvu.FilterData" localSheetId="0" hidden="1">'на 01.12.2016'!$A$7:$K$146</definedName>
    <definedName name="Z_371CA4AD_891B_4B1D_9403_45AB26546607_.wvu.FilterData" localSheetId="0" hidden="1">'на 01.12.2016'!$A$7:$P$404</definedName>
    <definedName name="Z_37F8CE32_8CE8_4D95_9C0E_63112E6EFFE9_.wvu.Cols" localSheetId="0" hidden="1">'на 01.12.2016'!#REF!</definedName>
    <definedName name="Z_37F8CE32_8CE8_4D95_9C0E_63112E6EFFE9_.wvu.FilterData" localSheetId="0" hidden="1">'на 01.12.2016'!$A$7:$K$146</definedName>
    <definedName name="Z_37F8CE32_8CE8_4D95_9C0E_63112E6EFFE9_.wvu.PrintArea" localSheetId="0" hidden="1">'на 01.12.2016'!$A$1:$P$146</definedName>
    <definedName name="Z_37F8CE32_8CE8_4D95_9C0E_63112E6EFFE9_.wvu.PrintTitles" localSheetId="0" hidden="1">'на 01.12.2016'!$5:$8</definedName>
    <definedName name="Z_37F8CE32_8CE8_4D95_9C0E_63112E6EFFE9_.wvu.Rows" localSheetId="0" hidden="1">'на 01.12.2016'!#REF!,'на 01.12.2016'!#REF!,'на 01.12.2016'!#REF!,'на 01.12.2016'!#REF!,'на 01.12.2016'!#REF!,'на 01.12.2016'!#REF!,'на 01.12.2016'!#REF!,'на 01.12.2016'!#REF!,'на 01.12.2016'!#REF!,'на 01.12.2016'!#REF!,'на 01.12.2016'!#REF!,'на 01.12.2016'!#REF!,'на 01.12.2016'!#REF!,'на 01.12.2016'!#REF!,'на 01.12.2016'!#REF!,'на 01.12.2016'!#REF!,'на 01.12.2016'!#REF!</definedName>
    <definedName name="Z_386EE007_6994_4AA6_8824_D461BF01F1EA_.wvu.FilterData" localSheetId="0" hidden="1">'на 01.12.2016'!$A$7:$P$404</definedName>
    <definedName name="Z_39897EE2_53F6_432A_9A7F_7DBB2FBB08E4_.wvu.FilterData" localSheetId="0" hidden="1">'на 01.12.2016'!$A$7:$P$404</definedName>
    <definedName name="Z_3A3DB971_386F_40FA_8DD4_4A74AFE3B4C9_.wvu.FilterData" localSheetId="0" hidden="1">'на 01.12.2016'!$A$7:$P$404</definedName>
    <definedName name="Z_3AAEA08B_779A_471D_BFA0_0D98BF9A4FAD_.wvu.FilterData" localSheetId="0" hidden="1">'на 01.12.2016'!$A$7:$K$146</definedName>
    <definedName name="Z_3C9F72CF_10C2_48CF_BBB6_A2B9A1393F37_.wvu.FilterData" localSheetId="0" hidden="1">'на 01.12.2016'!$A$7:$K$146</definedName>
    <definedName name="Z_3CBCA6B7_5D7C_44A4_844A_26E2A61FDE86_.wvu.FilterData" localSheetId="0" hidden="1">'на 01.12.2016'!$A$7:$P$404</definedName>
    <definedName name="Z_3D1280C8_646B_4BB2_862F_8A8207220C6A_.wvu.FilterData" localSheetId="0" hidden="1">'на 01.12.2016'!$A$7:$K$146</definedName>
    <definedName name="Z_3D5A28D4_CB7B_405C_9FFF_EB22C14AB77F_.wvu.FilterData" localSheetId="0" hidden="1">'на 01.12.2016'!$A$7:$P$404</definedName>
    <definedName name="Z_3D6E136A_63AE_4912_A965_BD438229D989_.wvu.FilterData" localSheetId="0" hidden="1">'на 01.12.2016'!$A$7:$P$404</definedName>
    <definedName name="Z_3DB4F6FC_CE58_4083_A6ED_88DCB901BB99_.wvu.FilterData" localSheetId="0" hidden="1">'на 01.12.2016'!$A$7:$K$146</definedName>
    <definedName name="Z_3E14FD86_95B1_4D0E_A8F6_A4FFDE0E3FF0_.wvu.FilterData" localSheetId="0" hidden="1">'на 01.12.2016'!$A$7:$P$404</definedName>
    <definedName name="Z_3F4E18FA_E0CE_43C2_A7F4_5CAE036892ED_.wvu.FilterData" localSheetId="0" hidden="1">'на 01.12.2016'!$A$7:$P$404</definedName>
    <definedName name="Z_3F839701_87D5_496C_AD9C_2B5AE5742513_.wvu.FilterData" localSheetId="0" hidden="1">'на 01.12.2016'!$A$7:$P$404</definedName>
    <definedName name="Z_3FE8ACF3_2097_4BA9_8230_2DBD30F09632_.wvu.FilterData" localSheetId="0" hidden="1">'на 01.12.2016'!$A$7:$P$404</definedName>
    <definedName name="Z_3FEDCFF8_5450_469D_9A9E_38AB8819A083_.wvu.FilterData" localSheetId="0" hidden="1">'на 01.12.2016'!$A$7:$P$404</definedName>
    <definedName name="Z_402DFE3F_A5E1_41E8_BB4F_E3062FAE22D8_.wvu.FilterData" localSheetId="0" hidden="1">'на 01.12.2016'!$A$7:$P$404</definedName>
    <definedName name="Z_403313B7_B74E_4D03_8AB9_B2A52A5BA330_.wvu.FilterData" localSheetId="0" hidden="1">'на 01.12.2016'!$A$7:$K$146</definedName>
    <definedName name="Z_4055661A_C391_44E3_B71B_DF824D593415_.wvu.FilterData" localSheetId="0" hidden="1">'на 01.12.2016'!$A$7:$K$146</definedName>
    <definedName name="Z_413E8ADC_60FE_4AEB_A365_51405ED7DAEF_.wvu.FilterData" localSheetId="0" hidden="1">'на 01.12.2016'!$A$7:$P$404</definedName>
    <definedName name="Z_415B8653_FE9C_472E_85AE_9CFA9B00FD5E_.wvu.FilterData" localSheetId="0" hidden="1">'на 01.12.2016'!$A$7:$K$146</definedName>
    <definedName name="Z_41C6EAF5_F389_4A73_A5DF_3E2ABACB9DC1_.wvu.FilterData" localSheetId="0" hidden="1">'на 01.12.2016'!$A$7:$P$404</definedName>
    <definedName name="Z_4388DD05_A74C_4C1C_A344_6EEDB2F4B1B0_.wvu.FilterData" localSheetId="0" hidden="1">'на 01.12.2016'!$A$7:$K$146</definedName>
    <definedName name="Z_43F7D742_5383_4CCE_A058_3A12F3676DF6_.wvu.FilterData" localSheetId="0" hidden="1">'на 01.12.2016'!$A$7:$P$404</definedName>
    <definedName name="Z_445590C0_7350_4A17_AB85_F8DCF9494ECC_.wvu.FilterData" localSheetId="0" hidden="1">'на 01.12.2016'!$A$7:$K$146</definedName>
    <definedName name="Z_45D27932_FD3D_46DE_B431_4E5606457D7F_.wvu.FilterData" localSheetId="0" hidden="1">'на 01.12.2016'!$A$7:$K$146</definedName>
    <definedName name="Z_45DE1976_7F07_4EB4_8A9C_FB72D060BEFA_.wvu.Cols" localSheetId="0" hidden="1">'на 01.12.2016'!$C:$E,'на 01.12.2016'!$M:$N</definedName>
    <definedName name="Z_45DE1976_7F07_4EB4_8A9C_FB72D060BEFA_.wvu.FilterData" localSheetId="0" hidden="1">'на 01.12.2016'!$A$7:$P$404</definedName>
    <definedName name="Z_45DE1976_7F07_4EB4_8A9C_FB72D060BEFA_.wvu.PrintArea" localSheetId="0" hidden="1">'на 01.12.2016'!$A$1:$P$197</definedName>
    <definedName name="Z_45DE1976_7F07_4EB4_8A9C_FB72D060BEFA_.wvu.PrintTitles" localSheetId="0" hidden="1">'на 01.12.2016'!$5:$8</definedName>
    <definedName name="Z_45DE1976_7F07_4EB4_8A9C_FB72D060BEFA_.wvu.Rows" localSheetId="0" hidden="1">'на 01.12.2016'!$18:$18,'на 01.12.2016'!$20:$20,'на 01.12.2016'!$28:$28,'на 01.12.2016'!$31:$31,'на 01.12.2016'!$35:$35,'на 01.12.2016'!$41:$42,'на 01.12.2016'!$44:$44,'на 01.12.2016'!$48:$48,'на 01.12.2016'!$50:$50,'на 01.12.2016'!$52:$54,'на 01.12.2016'!$59:$60,'на 01.12.2016'!$68:$68,'на 01.12.2016'!#REF!,'на 01.12.2016'!#REF!,'на 01.12.2016'!#REF!,'на 01.12.2016'!#REF!,'на 01.12.2016'!#REF!,'на 01.12.2016'!#REF!,'на 01.12.2016'!$109:$110,'на 01.12.2016'!$115:$116,'на 01.12.2016'!$121:$122,'на 01.12.2016'!$124:$124,'на 01.12.2016'!$126:$128,'на 01.12.2016'!$131:$134,'на 01.12.2016'!$138:$140,'на 01.12.2016'!$143:$146,'на 01.12.2016'!$160:$160,'на 01.12.2016'!$162:$166,'на 01.12.2016'!$168:$172,'на 01.12.2016'!$178:$178,'на 01.12.2016'!$181:$181,'на 01.12.2016'!$185:$185,'на 01.12.2016'!$188:$188,'на 01.12.2016'!$191:$192</definedName>
    <definedName name="Z_463F3E4B_81D6_4261_A251_5FB4227E67B1_.wvu.FilterData" localSheetId="0" hidden="1">'на 01.12.2016'!$A$7:$P$404</definedName>
    <definedName name="Z_4765959C_9F0B_44DF_B00A_10C6BB8CF204_.wvu.FilterData" localSheetId="0" hidden="1">'на 01.12.2016'!$A$7:$P$404</definedName>
    <definedName name="Z_47DE35B6_B347_4C65_8E49_C2008CA773EB_.wvu.FilterData" localSheetId="0" hidden="1">'на 01.12.2016'!$A$7:$K$146</definedName>
    <definedName name="Z_486156AC_4370_4C02_BA8A_CB9B49D1A8EC_.wvu.FilterData" localSheetId="0" hidden="1">'на 01.12.2016'!$A$7:$P$404</definedName>
    <definedName name="Z_49C7329D_3247_4713_BC9A_64F0EE2B0B3C_.wvu.FilterData" localSheetId="0" hidden="1">'на 01.12.2016'!$A$7:$P$404</definedName>
    <definedName name="Z_49E10B09_97E3_41C9_892E_7D9C5DFF5740_.wvu.FilterData" localSheetId="0" hidden="1">'на 01.12.2016'!$A$7:$P$404</definedName>
    <definedName name="Z_4AF0FF7E_D940_4246_AB71_AC8FEDA2EF24_.wvu.FilterData" localSheetId="0" hidden="1">'на 01.12.2016'!$A$7:$P$404</definedName>
    <definedName name="Z_4BB7905C_0E11_42F1_848D_90186131796A_.wvu.FilterData" localSheetId="0" hidden="1">'на 01.12.2016'!$A$7:$K$146</definedName>
    <definedName name="Z_4C1FE39D_945F_4F14_94DF_F69B283DCD9F_.wvu.FilterData" localSheetId="0" hidden="1">'на 01.12.2016'!$A$7:$K$146</definedName>
    <definedName name="Z_4CEB490B_58FB_4CA0_AAF2_63178FECD849_.wvu.FilterData" localSheetId="0" hidden="1">'на 01.12.2016'!$A$7:$P$404</definedName>
    <definedName name="Z_4EB9A2EB_6EC6_4AFE_AFFA_537868B4F130_.wvu.FilterData" localSheetId="0" hidden="1">'на 01.12.2016'!$A$7:$P$404</definedName>
    <definedName name="Z_4EF3C623_C372_46C1_AA60_4AC85C37C9F2_.wvu.FilterData" localSheetId="0" hidden="1">'на 01.12.2016'!$A$7:$P$404</definedName>
    <definedName name="Z_4FA4A69A_6589_44A8_8710_9041295BCBA3_.wvu.FilterData" localSheetId="0" hidden="1">'на 01.12.2016'!$A$7:$P$404</definedName>
    <definedName name="Z_4FE18469_4F1B_4C4F_94F8_2337C288BBDA_.wvu.FilterData" localSheetId="0" hidden="1">'на 01.12.2016'!$A$7:$P$404</definedName>
    <definedName name="Z_5039ACE2_215B_49F3_AC23_F5E171EB2E04_.wvu.FilterData" localSheetId="0" hidden="1">'на 01.12.2016'!$A$7:$P$404</definedName>
    <definedName name="Z_512708F0_FC6D_4404_BE68_DA23201791B7_.wvu.FilterData" localSheetId="0" hidden="1">'на 01.12.2016'!$A$7:$P$404</definedName>
    <definedName name="Z_51BD5A76_12FD_4D74_BB88_134070337907_.wvu.FilterData" localSheetId="0" hidden="1">'на 01.12.2016'!$A$7:$P$404</definedName>
    <definedName name="Z_52C40832_4D48_45A4_B802_95C62DCB5A61_.wvu.FilterData" localSheetId="0" hidden="1">'на 01.12.2016'!$A$7:$K$146</definedName>
    <definedName name="Z_539CB3DF_9B66_4BE7_9074_8CE0405EB8A6_.wvu.Cols" localSheetId="0" hidden="1">'на 01.12.2016'!$C:$E,'на 01.12.2016'!$M:$N</definedName>
    <definedName name="Z_539CB3DF_9B66_4BE7_9074_8CE0405EB8A6_.wvu.FilterData" localSheetId="0" hidden="1">'на 01.12.2016'!$A$7:$P$404</definedName>
    <definedName name="Z_539CB3DF_9B66_4BE7_9074_8CE0405EB8A6_.wvu.PrintArea" localSheetId="0" hidden="1">'на 01.12.2016'!$A$1:$P$197</definedName>
    <definedName name="Z_539CB3DF_9B66_4BE7_9074_8CE0405EB8A6_.wvu.PrintTitles" localSheetId="0" hidden="1">'на 01.12.2016'!$5:$8</definedName>
    <definedName name="Z_55266A36_B6A9_42E1_8467_17D14F12BABD_.wvu.FilterData" localSheetId="0" hidden="1">'на 01.12.2016'!$A$7:$K$146</definedName>
    <definedName name="Z_55F24CBB_212F_42F4_BB98_92561BDA95C3_.wvu.FilterData" localSheetId="0" hidden="1">'на 01.12.2016'!$A$7:$P$404</definedName>
    <definedName name="Z_565A1A16_6A4F_4794_B3C1_1808DC7E86C0_.wvu.FilterData" localSheetId="0" hidden="1">'на 01.12.2016'!$A$7:$K$146</definedName>
    <definedName name="Z_568C3823_FEE7_49C8_B4CF_3D48541DA65C_.wvu.FilterData" localSheetId="0" hidden="1">'на 01.12.2016'!$A$7:$K$146</definedName>
    <definedName name="Z_5696C387_34DF_4BED_BB60_2D85436D9DA8_.wvu.FilterData" localSheetId="0" hidden="1">'на 01.12.2016'!$A$7:$P$404</definedName>
    <definedName name="Z_56C18D87_C587_43F7_9147_D7827AADF66D_.wvu.FilterData" localSheetId="0" hidden="1">'на 01.12.2016'!$A$7:$K$146</definedName>
    <definedName name="Z_5729DC83_8713_4B21_9D2C_8A74D021747E_.wvu.FilterData" localSheetId="0" hidden="1">'на 01.12.2016'!$A$7:$K$146</definedName>
    <definedName name="Z_5730431A_42FA_4886_8F76_DA9C1179F65B_.wvu.FilterData" localSheetId="0" hidden="1">'на 01.12.2016'!$A$7:$P$404</definedName>
    <definedName name="Z_58270B81_2C5A_44D4_84D8_B29B6BA03243_.wvu.FilterData" localSheetId="0" hidden="1">'на 01.12.2016'!$A$7:$K$146</definedName>
    <definedName name="Z_58EAD7A7_C312_4E53_9D90_6DB268F00AAE_.wvu.FilterData" localSheetId="0" hidden="1">'на 01.12.2016'!$A$7:$P$404</definedName>
    <definedName name="Z_59074C03_1A19_4344_8FE1_916D5A98CD29_.wvu.FilterData" localSheetId="0" hidden="1">'на 01.12.2016'!$A$7:$P$404</definedName>
    <definedName name="Z_59F91900_CAE9_4608_97BE_FBC0993C389F_.wvu.FilterData" localSheetId="0" hidden="1">'на 01.12.2016'!$A$7:$K$146</definedName>
    <definedName name="Z_5AC843E8_BE7D_4B69_82E5_622B40389D76_.wvu.FilterData" localSheetId="0" hidden="1">'на 01.12.2016'!$A$7:$P$404</definedName>
    <definedName name="Z_5B201F9D_0EC3_499C_A33C_1C4C3BFDAC63_.wvu.FilterData" localSheetId="0" hidden="1">'на 01.12.2016'!$A$7:$P$404</definedName>
    <definedName name="Z_5B8F35C7_BACE_46B7_A289_D37993E37EE6_.wvu.FilterData" localSheetId="0" hidden="1">'на 01.12.2016'!$A$7:$P$404</definedName>
    <definedName name="Z_5C13A1A0_C535_4639_90BE_9B5D72B8AEDB_.wvu.FilterData" localSheetId="0" hidden="1">'на 01.12.2016'!$A$7:$K$146</definedName>
    <definedName name="Z_5C519772_2A20_4B5B_841B_37C4DE3DF25F_.wvu.FilterData" localSheetId="0" hidden="1">'на 01.12.2016'!$A$7:$P$404</definedName>
    <definedName name="Z_5CDE7466_9008_4EE8_8F19_E26D937B15F6_.wvu.FilterData" localSheetId="0" hidden="1">'на 01.12.2016'!$A$7:$K$146</definedName>
    <definedName name="Z_5EB104F4_627D_44E7_960F_6C67063C7D09_.wvu.FilterData" localSheetId="0" hidden="1">'на 01.12.2016'!$A$7:$P$404</definedName>
    <definedName name="Z_5EB1B5BB_79BE_4318_9140_3FA31802D519_.wvu.Cols" localSheetId="0" hidden="1">'на 01.12.2016'!$C:$E,'на 01.12.2016'!$M:$N</definedName>
    <definedName name="Z_5EB1B5BB_79BE_4318_9140_3FA31802D519_.wvu.FilterData" localSheetId="0" hidden="1">'на 01.12.2016'!$A$7:$P$404</definedName>
    <definedName name="Z_5EB1B5BB_79BE_4318_9140_3FA31802D519_.wvu.PrintArea" localSheetId="0" hidden="1">'на 01.12.2016'!$A$1:$P$197</definedName>
    <definedName name="Z_5EB1B5BB_79BE_4318_9140_3FA31802D519_.wvu.PrintTitles" localSheetId="0" hidden="1">'на 01.12.2016'!$5:$8</definedName>
    <definedName name="Z_5FB953A5_71FF_4056_AF98_C9D06FF0EDF3_.wvu.Cols" localSheetId="0" hidden="1">'на 01.12.2016'!$C:$E,'на 01.12.2016'!$M:$N</definedName>
    <definedName name="Z_5FB953A5_71FF_4056_AF98_C9D06FF0EDF3_.wvu.FilterData" localSheetId="0" hidden="1">'на 01.12.2016'!$A$7:$P$404</definedName>
    <definedName name="Z_5FB953A5_71FF_4056_AF98_C9D06FF0EDF3_.wvu.PrintArea" localSheetId="0" hidden="1">'на 01.12.2016'!$A$1:$P$197</definedName>
    <definedName name="Z_5FB953A5_71FF_4056_AF98_C9D06FF0EDF3_.wvu.PrintTitles" localSheetId="0" hidden="1">'на 01.12.2016'!$5:$8</definedName>
    <definedName name="Z_60155C64_695E_458C_BBFE_B89C53118803_.wvu.FilterData" localSheetId="0" hidden="1">'на 01.12.2016'!$A$7:$P$404</definedName>
    <definedName name="Z_60657231_C99E_4191_A90E_C546FB588843_.wvu.FilterData" localSheetId="0" hidden="1">'на 01.12.2016'!$A$7:$K$146</definedName>
    <definedName name="Z_60B33E92_3815_4061_91AA_8E38B8895054_.wvu.FilterData" localSheetId="0" hidden="1">'на 01.12.2016'!$A$7:$K$146</definedName>
    <definedName name="Z_61D3C2BE_E5C3_4670_8A8C_5EA015D7BE13_.wvu.FilterData" localSheetId="0" hidden="1">'на 01.12.2016'!$A$7:$P$404</definedName>
    <definedName name="Z_6246324E_D224_4FAC_8C67_F9370E7D77EB_.wvu.FilterData" localSheetId="0" hidden="1">'на 01.12.2016'!$A$7:$P$404</definedName>
    <definedName name="Z_62534477_13C5_437C_87A9_3525FC60CE4D_.wvu.FilterData" localSheetId="0" hidden="1">'на 01.12.2016'!$A$7:$P$404</definedName>
    <definedName name="Z_62691467_BD46_47AE_A6DF_52CBD0D9817B_.wvu.FilterData" localSheetId="0" hidden="1">'на 01.12.2016'!$A$7:$K$146</definedName>
    <definedName name="Z_62C4D5B7_88F6_4885_99F7_CBFA0AACC2D9_.wvu.FilterData" localSheetId="0" hidden="1">'на 01.12.2016'!$A$7:$P$404</definedName>
    <definedName name="Z_62F2B5AA_C3D1_4669_A4A0_184285923B8F_.wvu.FilterData" localSheetId="0" hidden="1">'на 01.12.2016'!$A$7:$P$404</definedName>
    <definedName name="Z_63720CAA_47FE_4977_B082_29E1534276C7_.wvu.FilterData" localSheetId="0" hidden="1">'на 01.12.2016'!$A$7:$P$404</definedName>
    <definedName name="Z_638AAAE8_8FF2_44D0_A160_BB2A9AEB5B72_.wvu.FilterData" localSheetId="0" hidden="1">'на 01.12.2016'!$A$7:$K$146</definedName>
    <definedName name="Z_63D45DC6_0D62_438A_9069_0A4378090381_.wvu.FilterData" localSheetId="0" hidden="1">'на 01.12.2016'!$A$7:$K$146</definedName>
    <definedName name="Z_648AB040_BD0E_49A1_BA40_87D3D9C0BA55_.wvu.FilterData" localSheetId="0" hidden="1">'на 01.12.2016'!$A$7:$P$404</definedName>
    <definedName name="Z_649E5CE3_4976_49D9_83DA_4E57FFC714BF_.wvu.Cols" localSheetId="0" hidden="1">'на 01.12.2016'!$C:$E,'на 01.12.2016'!$M:$N</definedName>
    <definedName name="Z_649E5CE3_4976_49D9_83DA_4E57FFC714BF_.wvu.FilterData" localSheetId="0" hidden="1">'на 01.12.2016'!$A$7:$P$404</definedName>
    <definedName name="Z_649E5CE3_4976_49D9_83DA_4E57FFC714BF_.wvu.PrintArea" localSheetId="0" hidden="1">'на 01.12.2016'!$A$1:$P$203</definedName>
    <definedName name="Z_649E5CE3_4976_49D9_83DA_4E57FFC714BF_.wvu.PrintTitles" localSheetId="0" hidden="1">'на 01.12.2016'!$5:$8</definedName>
    <definedName name="Z_64C01F03_E840_4B6E_960F_5E13E0981676_.wvu.FilterData" localSheetId="0" hidden="1">'на 01.12.2016'!$A$7:$P$404</definedName>
    <definedName name="Z_6654CD2E_14AE_4299_8801_306919BA9D32_.wvu.FilterData" localSheetId="0" hidden="1">'на 01.12.2016'!$A$7:$P$404</definedName>
    <definedName name="Z_66550ABE_0FE4_4071_B1FA_6163FA599414_.wvu.FilterData" localSheetId="0" hidden="1">'на 01.12.2016'!$A$7:$P$404</definedName>
    <definedName name="Z_6656F77C_55F8_4E1C_A222_2E884838D2F2_.wvu.FilterData" localSheetId="0" hidden="1">'на 01.12.2016'!$A$7:$P$404</definedName>
    <definedName name="Z_67A1158E_8E10_4053_B044_B8AB7C784C01_.wvu.FilterData" localSheetId="0" hidden="1">'на 01.12.2016'!$A$7:$P$404</definedName>
    <definedName name="Z_67ADFAE6_A9AF_44D7_8539_93CD0F6B7849_.wvu.Cols" localSheetId="0" hidden="1">'на 01.12.2016'!$C:$E,'на 01.12.2016'!$M:$N</definedName>
    <definedName name="Z_67ADFAE6_A9AF_44D7_8539_93CD0F6B7849_.wvu.FilterData" localSheetId="0" hidden="1">'на 01.12.2016'!$A$7:$P$404</definedName>
    <definedName name="Z_67ADFAE6_A9AF_44D7_8539_93CD0F6B7849_.wvu.PrintArea" localSheetId="0" hidden="1">'на 01.12.2016'!$A$1:$P$206</definedName>
    <definedName name="Z_67ADFAE6_A9AF_44D7_8539_93CD0F6B7849_.wvu.PrintTitles" localSheetId="0" hidden="1">'на 01.12.2016'!$5:$8</definedName>
    <definedName name="Z_69321B6F_CF2A_4DAB_82CF_8CAAD629F257_.wvu.FilterData" localSheetId="0" hidden="1">'на 01.12.2016'!$A$7:$P$404</definedName>
    <definedName name="Z_6BE4E62B_4F97_4F96_9638_8ADCE8F932B1_.wvu.FilterData" localSheetId="0" hidden="1">'на 01.12.2016'!$A$7:$K$146</definedName>
    <definedName name="Z_6BE735CC_AF2E_4F67_B22D_A8AB001D3353_.wvu.FilterData" localSheetId="0" hidden="1">'на 01.12.2016'!$A$7:$K$146</definedName>
    <definedName name="Z_6CF84B0C_144A_4CF4_A34E_B9147B738037_.wvu.FilterData" localSheetId="0" hidden="1">'на 01.12.2016'!$A$7:$K$146</definedName>
    <definedName name="Z_6D091BF8_3118_4C66_BFCF_A396B92963B0_.wvu.FilterData" localSheetId="0" hidden="1">'на 01.12.2016'!$A$7:$P$404</definedName>
    <definedName name="Z_6D692D1F_2186_4B62_878B_AABF13F25116_.wvu.FilterData" localSheetId="0" hidden="1">'на 01.12.2016'!$A$7:$P$404</definedName>
    <definedName name="Z_6E1926CF_4906_4A55_811C_617ED8BB98BA_.wvu.FilterData" localSheetId="0" hidden="1">'на 01.12.2016'!$A$7:$P$404</definedName>
    <definedName name="Z_6E2D6686_B9FD_4BBA_8CD4_95C6386F5509_.wvu.FilterData" localSheetId="0" hidden="1">'на 01.12.2016'!$A$7:$K$146</definedName>
    <definedName name="Z_6ECBF068_1C02_4E6C_B4E6_EB2B6EC464BD_.wvu.FilterData" localSheetId="0" hidden="1">'на 01.12.2016'!$A$7:$P$404</definedName>
    <definedName name="Z_6F1223ED_6D7E_4BDC_97BD_57C6B16DF50B_.wvu.FilterData" localSheetId="0" hidden="1">'на 01.12.2016'!$A$7:$P$404</definedName>
    <definedName name="Z_6F60BF81_D1A9_4E04_93E7_3EE7124B8D23_.wvu.FilterData" localSheetId="0" hidden="1">'на 01.12.2016'!$A$7:$K$146</definedName>
    <definedName name="Z_701E5EC3_E633_4389_A70E_4DD82E713CE4_.wvu.FilterData" localSheetId="0" hidden="1">'на 01.12.2016'!$A$7:$P$404</definedName>
    <definedName name="Z_70567FCD_AD22_4F19_9380_E5332B152F74_.wvu.FilterData" localSheetId="0" hidden="1">'на 01.12.2016'!$A$7:$P$404</definedName>
    <definedName name="Z_706D67E7_3361_40B2_829D_8844AB8060E2_.wvu.FilterData" localSheetId="0" hidden="1">'на 01.12.2016'!$A$7:$K$146</definedName>
    <definedName name="Z_7246383F_5A7C_4469_ABE5_F3DE99D7B98C_.wvu.FilterData" localSheetId="0" hidden="1">'на 01.12.2016'!$A$7:$K$146</definedName>
    <definedName name="Z_72971C39_5C91_4008_BD77_2DC24FDFDCB6_.wvu.FilterData" localSheetId="0" hidden="1">'на 01.12.2016'!$A$7:$P$404</definedName>
    <definedName name="Z_72BCCF18_7B1D_4731_977C_FF5C187A4C82_.wvu.FilterData" localSheetId="0" hidden="1">'на 01.12.2016'!$A$7:$P$404</definedName>
    <definedName name="Z_742C8CE1_B323_4B6C_901C_E2B713ADDB04_.wvu.FilterData" localSheetId="0" hidden="1">'на 01.12.2016'!$A$7:$K$146</definedName>
    <definedName name="Z_762066AC_D656_4392_845D_8C6157B76764_.wvu.FilterData" localSheetId="0" hidden="1">'на 01.12.2016'!$A$7:$K$146</definedName>
    <definedName name="Z_77081AB2_288F_4D22_9FAD_2429DAF1E510_.wvu.FilterData" localSheetId="0" hidden="1">'на 01.12.2016'!$A$7:$P$404</definedName>
    <definedName name="Z_799DB00F_141C_483B_A462_359C05A36D93_.wvu.FilterData" localSheetId="0" hidden="1">'на 01.12.2016'!$A$7:$K$146</definedName>
    <definedName name="Z_79E4D554_5B2C_41A7_B934_B430838AA03E_.wvu.FilterData" localSheetId="0" hidden="1">'на 01.12.2016'!$A$7:$P$404</definedName>
    <definedName name="Z_7A01CF94_90AE_4821_93EE_D3FE8D12D8D5_.wvu.FilterData" localSheetId="0" hidden="1">'на 01.12.2016'!$A$7:$P$404</definedName>
    <definedName name="Z_7A09065A_45D5_4C53_B9DD_121DF6719D64_.wvu.FilterData" localSheetId="0" hidden="1">'на 01.12.2016'!$A$7:$K$146</definedName>
    <definedName name="Z_7AE14342_BF53_4FA2_8C85_1038D8BA9596_.wvu.FilterData" localSheetId="0" hidden="1">'на 01.12.2016'!$A$7:$K$146</definedName>
    <definedName name="Z_7B245AB0_C2AF_4822_BFC4_2399F85856C1_.wvu.Cols" localSheetId="0" hidden="1">'на 01.12.2016'!$C:$E,'на 01.12.2016'!$M:$N</definedName>
    <definedName name="Z_7B245AB0_C2AF_4822_BFC4_2399F85856C1_.wvu.FilterData" localSheetId="0" hidden="1">'на 01.12.2016'!$A$7:$P$404</definedName>
    <definedName name="Z_7B245AB0_C2AF_4822_BFC4_2399F85856C1_.wvu.PrintArea" localSheetId="0" hidden="1">'на 01.12.2016'!$A$1:$P$197</definedName>
    <definedName name="Z_7B245AB0_C2AF_4822_BFC4_2399F85856C1_.wvu.PrintTitles" localSheetId="0" hidden="1">'на 01.12.2016'!$5:$8</definedName>
    <definedName name="Z_7BA445E6_50A0_4F67_81F2_B2945A5BFD3F_.wvu.FilterData" localSheetId="0" hidden="1">'на 01.12.2016'!$A$7:$P$404</definedName>
    <definedName name="Z_7BC27702_AD83_4B6E_860E_D694439F877D_.wvu.FilterData" localSheetId="0" hidden="1">'на 01.12.2016'!$A$7:$K$146</definedName>
    <definedName name="Z_7CB2D520_A8A5_4D6C_BE39_64C505DBAE2C_.wvu.FilterData" localSheetId="0" hidden="1">'на 01.12.2016'!$A$7:$P$404</definedName>
    <definedName name="Z_7DB24378_D193_4D04_9739_831C8625EEAE_.wvu.FilterData" localSheetId="0" hidden="1">'на 01.12.2016'!$A$7:$P$61</definedName>
    <definedName name="Z_7E77AE50_A8E9_48E1_BD6F_0651484E1DB4_.wvu.FilterData" localSheetId="0" hidden="1">'на 01.12.2016'!$A$7:$P$404</definedName>
    <definedName name="Z_81403331_C5EB_4760_B273_D3D9C8D43951_.wvu.FilterData" localSheetId="0" hidden="1">'на 01.12.2016'!$A$7:$K$146</definedName>
    <definedName name="Z_81BE03B7_DE2F_4E82_8496_CAF917D1CC3F_.wvu.FilterData" localSheetId="0" hidden="1">'на 01.12.2016'!$A$7:$P$404</definedName>
    <definedName name="Z_8220CA38_66F1_4F9F_A7AE_CF3DF89B0B66_.wvu.FilterData" localSheetId="0" hidden="1">'на 01.12.2016'!$A$7:$P$404</definedName>
    <definedName name="Z_8280D1E0_5055_49CD_A383_D6B2F2EBD512_.wvu.FilterData" localSheetId="0" hidden="1">'на 01.12.2016'!$A$7:$K$146</definedName>
    <definedName name="Z_829F5F3F_AACC_4AF4_A7EF_0FD75747C358_.wvu.FilterData" localSheetId="0" hidden="1">'на 01.12.2016'!$A$7:$P$404</definedName>
    <definedName name="Z_840133FA_9546_4ED0_AA3E_E87F8F80931F_.wvu.FilterData" localSheetId="0" hidden="1">'на 01.12.2016'!$A$7:$P$404</definedName>
    <definedName name="Z_8462E4B7_FF49_4401_9CB1_027D70C3D86B_.wvu.FilterData" localSheetId="0" hidden="1">'на 01.12.2016'!$A$7:$K$146</definedName>
    <definedName name="Z_8518EF96_21CF_4CEA_B17C_8AA8E48B82CF_.wvu.FilterData" localSheetId="0" hidden="1">'на 01.12.2016'!$A$7:$P$404</definedName>
    <definedName name="Z_85336449_1C25_4AF7_89BA_281D7385CDF9_.wvu.FilterData" localSheetId="0" hidden="1">'на 01.12.2016'!$A$7:$P$404</definedName>
    <definedName name="Z_8649CC96_F63A_4F83_8C89_AA8F47AC05F3_.wvu.FilterData" localSheetId="0" hidden="1">'на 01.12.2016'!$A$7:$K$146</definedName>
    <definedName name="Z_8789C1A0_51C5_46EF_B1F1_B319BE008AC1_.wvu.FilterData" localSheetId="0" hidden="1">'на 01.12.2016'!$A$7:$P$404</definedName>
    <definedName name="Z_87AE545F_036F_4E8B_9D04_AE59AB8BAC14_.wvu.FilterData" localSheetId="0" hidden="1">'на 01.12.2016'!$A$7:$K$146</definedName>
    <definedName name="Z_87D86486_B5EF_4463_9350_9D1E042A42DF_.wvu.FilterData" localSheetId="0" hidden="1">'на 01.12.2016'!$A$7:$P$404</definedName>
    <definedName name="Z_8878B53B_0E8A_4A11_8A26_C2AC9BB8A4A9_.wvu.FilterData" localSheetId="0" hidden="1">'на 01.12.2016'!$A$7:$K$146</definedName>
    <definedName name="Z_888B8943_9277_42CB_A862_699801009D7B_.wvu.FilterData" localSheetId="0" hidden="1">'на 01.12.2016'!$A$7:$P$404</definedName>
    <definedName name="Z_8BA7C340_DD6D_4BDE_939B_41C98A02B423_.wvu.FilterData" localSheetId="0" hidden="1">'на 01.12.2016'!$A$7:$P$404</definedName>
    <definedName name="Z_8C04CD6E_A1CC_4EF8_8DD5_B859F52073A0_.wvu.FilterData" localSheetId="0" hidden="1">'на 01.12.2016'!$A$7:$P$404</definedName>
    <definedName name="Z_8C654415_86D2_479D_A511_8A4B3774E375_.wvu.FilterData" localSheetId="0" hidden="1">'на 01.12.2016'!$A$7:$K$146</definedName>
    <definedName name="Z_8CAD663B_CD5E_4846_B4FD_69BCB6D1EB12_.wvu.FilterData" localSheetId="0" hidden="1">'на 01.12.2016'!$A$7:$K$146</definedName>
    <definedName name="Z_8CB267BE_E783_4914_8FFF_50D79F1D75CF_.wvu.FilterData" localSheetId="0" hidden="1">'на 01.12.2016'!$A$7:$K$146</definedName>
    <definedName name="Z_8D0153EB_A3EC_4213_A12B_74D6D827770F_.wvu.FilterData" localSheetId="0" hidden="1">'на 01.12.2016'!$A$7:$P$404</definedName>
    <definedName name="Z_8D7BE686_9FAF_4C26_8FD5_5395E55E0797_.wvu.FilterData" localSheetId="0" hidden="1">'на 01.12.2016'!$A$7:$K$146</definedName>
    <definedName name="Z_8D8D2F4C_3B7E_4C1F_A367_4BA418733E1A_.wvu.FilterData" localSheetId="0" hidden="1">'на 01.12.2016'!$A$7:$K$146</definedName>
    <definedName name="Z_8E62A2BE_7CE7_496E_AC79_F133ABDC98BF_.wvu.FilterData" localSheetId="0" hidden="1">'на 01.12.2016'!$A$7:$K$146</definedName>
    <definedName name="Z_8EEB3EFB_2D0D_474D_A904_853356F13984_.wvu.FilterData" localSheetId="0" hidden="1">'на 01.12.2016'!$A$7:$P$404</definedName>
    <definedName name="Z_8F2A8A22_72A2_4B00_8248_255CA52D5828_.wvu.FilterData" localSheetId="0" hidden="1">'на 01.12.2016'!$A$7:$P$404</definedName>
    <definedName name="Z_9089CAE7_C9D5_4B44_BF40_622C1D4BEC1A_.wvu.FilterData" localSheetId="0" hidden="1">'на 01.12.2016'!$A$7:$P$404</definedName>
    <definedName name="Z_90B62036_E8E2_47F2_BA67_9490969E5E89_.wvu.FilterData" localSheetId="0" hidden="1">'на 01.12.2016'!$A$7:$P$404</definedName>
    <definedName name="Z_91A44DD7_EFA1_45BC_BF8A_C6EBAED142C3_.wvu.FilterData" localSheetId="0" hidden="1">'на 01.12.2016'!$A$7:$P$404</definedName>
    <definedName name="Z_92A69ACC_08E1_4049_9A4E_909BE09E8D3F_.wvu.FilterData" localSheetId="0" hidden="1">'на 01.12.2016'!$A$7:$P$404</definedName>
    <definedName name="Z_92A7494D_B642_4D2E_8A98_FA3ADD190BCE_.wvu.FilterData" localSheetId="0" hidden="1">'на 01.12.2016'!$A$7:$P$404</definedName>
    <definedName name="Z_92A89EF4_8A4E_4790_B0CC_01892B6039EB_.wvu.FilterData" localSheetId="0" hidden="1">'на 01.12.2016'!$A$7:$P$404</definedName>
    <definedName name="Z_92E38377_38CC_496E_BBD8_5394F7550FE3_.wvu.FilterData" localSheetId="0" hidden="1">'на 01.12.2016'!$A$7:$P$404</definedName>
    <definedName name="Z_93030161_EBD2_4C55_BB01_67290B2149A7_.wvu.FilterData" localSheetId="0" hidden="1">'на 01.12.2016'!$A$7:$P$404</definedName>
    <definedName name="Z_935DFEC4_8817_4BB5_A846_9674D5A05EE9_.wvu.FilterData" localSheetId="0" hidden="1">'на 01.12.2016'!$A$7:$K$146</definedName>
    <definedName name="Z_944D1186_FA84_48E6_9A44_19022D55084A_.wvu.FilterData" localSheetId="0" hidden="1">'на 01.12.2016'!$A$7:$P$404</definedName>
    <definedName name="Z_94E3B816_367C_44F4_94FC_13D42F694C13_.wvu.FilterData" localSheetId="0" hidden="1">'на 01.12.2016'!$A$7:$P$404</definedName>
    <definedName name="Z_95B5A563_A81C_425C_AC80_18232E0FA0F2_.wvu.FilterData" localSheetId="0" hidden="1">'на 01.12.2016'!$A$7:$K$146</definedName>
    <definedName name="Z_96167660_EA8B_4F7D_87A1_785E97B459B3_.wvu.FilterData" localSheetId="0" hidden="1">'на 01.12.2016'!$A$7:$K$146</definedName>
    <definedName name="Z_96879477_4713_4ABC_982A_7EB1C07B4DED_.wvu.FilterData" localSheetId="0" hidden="1">'на 01.12.2016'!$A$7:$K$146</definedName>
    <definedName name="Z_969E164A_AA47_4A3D_AECC_F3C5A8BBA40A_.wvu.FilterData" localSheetId="0" hidden="1">'на 01.12.2016'!$A$7:$P$404</definedName>
    <definedName name="Z_97B55429_A18E_43B5_9AF8_FE73FCDE4BBB_.wvu.FilterData" localSheetId="0" hidden="1">'на 01.12.2016'!$A$7:$P$404</definedName>
    <definedName name="Z_97E2C09C_6040_4BDA_B6A0_AF60F993AC48_.wvu.FilterData" localSheetId="0" hidden="1">'на 01.12.2016'!$A$7:$P$404</definedName>
    <definedName name="Z_97F74FDF_2C27_4D85_A3A7_1EF51A8A2DFF_.wvu.FilterData" localSheetId="0" hidden="1">'на 01.12.2016'!$A$7:$K$146</definedName>
    <definedName name="Z_987C1B6D_28A7_49CB_BBF0_6C3FFB9FC1C5_.wvu.FilterData" localSheetId="0" hidden="1">'на 01.12.2016'!$A$7:$P$404</definedName>
    <definedName name="Z_998B8119_4FF3_4A16_838D_539C6AE34D55_.wvu.Cols" localSheetId="0" hidden="1">'на 01.12.2016'!$C:$E,'на 01.12.2016'!$M:$N</definedName>
    <definedName name="Z_998B8119_4FF3_4A16_838D_539C6AE34D55_.wvu.FilterData" localSheetId="0" hidden="1">'на 01.12.2016'!$A$7:$P$404</definedName>
    <definedName name="Z_998B8119_4FF3_4A16_838D_539C6AE34D55_.wvu.PrintArea" localSheetId="0" hidden="1">'на 01.12.2016'!$A$1:$P$197</definedName>
    <definedName name="Z_998B8119_4FF3_4A16_838D_539C6AE34D55_.wvu.PrintTitles" localSheetId="0" hidden="1">'на 01.12.2016'!$5:$8</definedName>
    <definedName name="Z_998B8119_4FF3_4A16_838D_539C6AE34D55_.wvu.Rows" localSheetId="0" hidden="1">'на 01.12.2016'!#REF!</definedName>
    <definedName name="Z_9A28E7E9_55CD_40D9_9E29_E07B8DD3C238_.wvu.FilterData" localSheetId="0" hidden="1">'на 01.12.2016'!$A$7:$P$404</definedName>
    <definedName name="Z_9A769443_7DFA_43D5_AB26_6F2EEF53DAF1_.wvu.FilterData" localSheetId="0" hidden="1">'на 01.12.2016'!$A$7:$K$146</definedName>
    <definedName name="Z_9C310551_EC8B_4B87_B5AF_39FC532C6FE3_.wvu.FilterData" localSheetId="0" hidden="1">'на 01.12.2016'!$A$7:$K$146</definedName>
    <definedName name="Z_9D24C81C_5B18_4B40_BF88_7236C9CAE366_.wvu.FilterData" localSheetId="0" hidden="1">'на 01.12.2016'!$A$7:$K$146</definedName>
    <definedName name="Z_9E720D93_31F0_4636_BA00_6CE6F83F3651_.wvu.FilterData" localSheetId="0" hidden="1">'на 01.12.2016'!$A$7:$P$404</definedName>
    <definedName name="Z_9E943B7D_D4C7_443F_BC4C_8AB90546D8A5_.wvu.Cols" localSheetId="0" hidden="1">'на 01.12.2016'!#REF!,'на 01.12.2016'!#REF!</definedName>
    <definedName name="Z_9E943B7D_D4C7_443F_BC4C_8AB90546D8A5_.wvu.FilterData" localSheetId="0" hidden="1">'на 01.12.2016'!$A$3:$P$61</definedName>
    <definedName name="Z_9E943B7D_D4C7_443F_BC4C_8AB90546D8A5_.wvu.PrintTitles" localSheetId="0" hidden="1">'на 01.12.2016'!$5:$8</definedName>
    <definedName name="Z_9E943B7D_D4C7_443F_BC4C_8AB90546D8A5_.wvu.Rows" localSheetId="0" hidden="1">'на 01.12.2016'!#REF!,'на 01.12.2016'!#REF!,'на 01.12.2016'!#REF!,'на 01.12.2016'!#REF!,'на 01.12.2016'!#REF!,'на 01.12.2016'!#REF!,'на 01.12.2016'!#REF!,'на 01.12.2016'!#REF!,'на 01.12.2016'!#REF!,'на 01.12.2016'!#REF!,'на 01.12.2016'!#REF!,'на 01.12.2016'!#REF!,'на 01.12.2016'!#REF!,'на 01.12.2016'!#REF!,'на 01.12.2016'!#REF!,'на 01.12.2016'!#REF!,'на 01.12.2016'!#REF!,'на 01.12.2016'!#REF!,'на 01.12.2016'!#REF!,'на 01.12.2016'!#REF!</definedName>
    <definedName name="Z_9EC99D85_9CBB_4D41_A0AC_5A782960B43C_.wvu.FilterData" localSheetId="0" hidden="1">'на 01.12.2016'!$A$7:$K$146</definedName>
    <definedName name="Z_9FA29541_62F4_4CED_BF33_19F6BA57578F_.wvu.Cols" localSheetId="0" hidden="1">'на 01.12.2016'!$C:$E,'на 01.12.2016'!$M:$N</definedName>
    <definedName name="Z_9FA29541_62F4_4CED_BF33_19F6BA57578F_.wvu.FilterData" localSheetId="0" hidden="1">'на 01.12.2016'!$A$7:$P$404</definedName>
    <definedName name="Z_9FA29541_62F4_4CED_BF33_19F6BA57578F_.wvu.PrintArea" localSheetId="0" hidden="1">'на 01.12.2016'!$A$1:$P$197</definedName>
    <definedName name="Z_9FA29541_62F4_4CED_BF33_19F6BA57578F_.wvu.PrintTitles" localSheetId="0" hidden="1">'на 01.12.2016'!$5:$8</definedName>
    <definedName name="Z_A0A3CD9B_2436_40D7_91DB_589A95FBBF00_.wvu.Cols" localSheetId="0" hidden="1">'на 01.12.2016'!$C:$E,'на 01.12.2016'!$M:$N</definedName>
    <definedName name="Z_A0A3CD9B_2436_40D7_91DB_589A95FBBF00_.wvu.FilterData" localSheetId="0" hidden="1">'на 01.12.2016'!$A$7:$P$404</definedName>
    <definedName name="Z_A0A3CD9B_2436_40D7_91DB_589A95FBBF00_.wvu.PrintArea" localSheetId="0" hidden="1">'на 01.12.2016'!$A$1:$P$206</definedName>
    <definedName name="Z_A0A3CD9B_2436_40D7_91DB_589A95FBBF00_.wvu.PrintTitles" localSheetId="0" hidden="1">'на 01.12.2016'!$5:$8</definedName>
    <definedName name="Z_A0EB0A04_1124_498B_8C4B_C1E25B53C1A8_.wvu.FilterData" localSheetId="0" hidden="1">'на 01.12.2016'!$A$7:$K$146</definedName>
    <definedName name="Z_A113B19A_DB2C_4585_AED7_B7EF9F05E57E_.wvu.FilterData" localSheetId="0" hidden="1">'на 01.12.2016'!$A$7:$P$404</definedName>
    <definedName name="Z_A2611F3A_C06C_4662_B39E_6F08BA7C9B14_.wvu.FilterData" localSheetId="0" hidden="1">'на 01.12.2016'!$A$7:$K$146</definedName>
    <definedName name="Z_A28DA500_33FC_4913_B21A_3E2D7ED7A130_.wvu.FilterData" localSheetId="0" hidden="1">'на 01.12.2016'!$A$7:$K$146</definedName>
    <definedName name="Z_A62258B9_7768_4C4F_AFFC_537782E81CFF_.wvu.FilterData" localSheetId="0" hidden="1">'на 01.12.2016'!$A$7:$K$146</definedName>
    <definedName name="Z_A65D4FF6_26A1_47FE_AF98_41E05002FB1E_.wvu.FilterData" localSheetId="0" hidden="1">'на 01.12.2016'!$A$7:$K$146</definedName>
    <definedName name="Z_A6B98527_7CBF_4E4D_BDEA_9334A3EB779F_.wvu.Cols" localSheetId="0" hidden="1">'на 01.12.2016'!$C:$E,'на 01.12.2016'!$M:$N,'на 01.12.2016'!$Q:$BT</definedName>
    <definedName name="Z_A6B98527_7CBF_4E4D_BDEA_9334A3EB779F_.wvu.FilterData" localSheetId="0" hidden="1">'на 01.12.2016'!$A$7:$P$404</definedName>
    <definedName name="Z_A6B98527_7CBF_4E4D_BDEA_9334A3EB779F_.wvu.PrintArea" localSheetId="0" hidden="1">'на 01.12.2016'!$A$1:$BT$197</definedName>
    <definedName name="Z_A6B98527_7CBF_4E4D_BDEA_9334A3EB779F_.wvu.PrintTitles" localSheetId="0" hidden="1">'на 01.12.2016'!$5:$7</definedName>
    <definedName name="Z_A98C96B5_CE3A_4FF9_B3E5_0DBB66ADC5BB_.wvu.FilterData" localSheetId="0" hidden="1">'на 01.12.2016'!$A$7:$K$146</definedName>
    <definedName name="Z_A9BB2943_E4B1_4809_A926_69F8C50E1CF2_.wvu.FilterData" localSheetId="0" hidden="1">'на 01.12.2016'!$A$7:$P$404</definedName>
    <definedName name="Z_AA4C7BF5_07E0_4095_B165_D2AF600190FA_.wvu.FilterData" localSheetId="0" hidden="1">'на 01.12.2016'!$A$7:$K$146</definedName>
    <definedName name="Z_AAC4B5AB_1913_4D9C_A1FF_BD9345E009EB_.wvu.FilterData" localSheetId="0" hidden="1">'на 01.12.2016'!$A$7:$K$146</definedName>
    <definedName name="Z_ABAF42E6_6CD6_46B1_A0C6_0099C207BC1C_.wvu.FilterData" localSheetId="0" hidden="1">'на 01.12.2016'!$A$7:$P$404</definedName>
    <definedName name="Z_ACFE2E5A_B4BC_4793_B103_05F97C227772_.wvu.FilterData" localSheetId="0" hidden="1">'на 01.12.2016'!$A$7:$P$404</definedName>
    <definedName name="Z_AD079EA2_4E18_46EE_8E20_0C7923C917D2_.wvu.FilterData" localSheetId="0" hidden="1">'на 01.12.2016'!$A$7:$P$404</definedName>
    <definedName name="Z_AF01D870_77CB_46A2_A95B_3A27FF42EAA8_.wvu.FilterData" localSheetId="0" hidden="1">'на 01.12.2016'!$A$7:$K$146</definedName>
    <definedName name="Z_AF1AEFF5_9892_4FCB_BD3E_6CF1CEE1B71B_.wvu.FilterData" localSheetId="0" hidden="1">'на 01.12.2016'!$A$7:$P$404</definedName>
    <definedName name="Z_AFC26506_1EE1_430F_B247_3257CE41958A_.wvu.FilterData" localSheetId="0" hidden="1">'на 01.12.2016'!$A$7:$P$404</definedName>
    <definedName name="Z_B00B4D71_156E_4DD9_93CC_1F392CBA035F_.wvu.FilterData" localSheetId="0" hidden="1">'на 01.12.2016'!$A$7:$P$404</definedName>
    <definedName name="Z_B0B61858_D248_4F0B_95EB_A53482FBF19B_.wvu.FilterData" localSheetId="0" hidden="1">'на 01.12.2016'!$A$7:$P$404</definedName>
    <definedName name="Z_B180D137_9F25_4AD4_9057_37928F1867A8_.wvu.FilterData" localSheetId="0" hidden="1">'на 01.12.2016'!$A$7:$K$146</definedName>
    <definedName name="Z_B246A3A0_6AE0_4610_AE7A_F7490C26DBCA_.wvu.FilterData" localSheetId="0" hidden="1">'на 01.12.2016'!$A$7:$P$404</definedName>
    <definedName name="Z_B2D38EAC_E767_43A7_B7A2_621639FE347D_.wvu.FilterData" localSheetId="0" hidden="1">'на 01.12.2016'!$A$7:$K$146</definedName>
    <definedName name="Z_B3114865_FFF9_40B7_B9E6_C3642102DCF9_.wvu.FilterData" localSheetId="0" hidden="1">'на 01.12.2016'!$A$7:$P$404</definedName>
    <definedName name="Z_B3339176_D3D0_4D7A_8AAB_C0B71F942A93_.wvu.FilterData" localSheetId="0" hidden="1">'на 01.12.2016'!$A$7:$K$146</definedName>
    <definedName name="Z_B45FAC42_679D_43AB_B511_9E5492CAC2DB_.wvu.FilterData" localSheetId="0" hidden="1">'на 01.12.2016'!$A$7:$K$146</definedName>
    <definedName name="Z_B499C08D_A2E7_417F_A9B7_BFCE2B66534F_.wvu.FilterData" localSheetId="0" hidden="1">'на 01.12.2016'!$A$7:$P$404</definedName>
    <definedName name="Z_B5533D56_E1AE_4DE7_8436_EF9CA55A4943_.wvu.FilterData" localSheetId="0" hidden="1">'на 01.12.2016'!$A$7:$P$404</definedName>
    <definedName name="Z_B56BEF44_39DC_4F5B_A5E5_157C237832AF_.wvu.FilterData" localSheetId="0" hidden="1">'на 01.12.2016'!$A$7:$K$146</definedName>
    <definedName name="Z_B5A6FE62_B66C_45B1_AF17_B7686B0B3A3F_.wvu.FilterData" localSheetId="0" hidden="1">'на 01.12.2016'!$A$7:$P$404</definedName>
    <definedName name="Z_B603D180_E09A_4B9C_810F_9423EBA4A0EA_.wvu.FilterData" localSheetId="0" hidden="1">'на 01.12.2016'!$A$7:$P$404</definedName>
    <definedName name="Z_B698776A_6A96_445D_9813_F5440DD90495_.wvu.FilterData" localSheetId="0" hidden="1">'на 01.12.2016'!$A$7:$P$404</definedName>
    <definedName name="Z_B7A4DC29_6CA3_48BD_BD2B_5EA61D250392_.wvu.FilterData" localSheetId="0" hidden="1">'на 01.12.2016'!$A$7:$K$146</definedName>
    <definedName name="Z_B7F67755_3086_43A6_86E7_370F80E61BD0_.wvu.FilterData" localSheetId="0" hidden="1">'на 01.12.2016'!$A$7:$K$146</definedName>
    <definedName name="Z_B858041A_E0C9_4C5A_A736_A0DA4684B712_.wvu.FilterData" localSheetId="0" hidden="1">'на 01.12.2016'!$A$7:$P$404</definedName>
    <definedName name="Z_B8EDA240_D337_4165_927F_4408D011F4B1_.wvu.FilterData" localSheetId="0" hidden="1">'на 01.12.2016'!$A$7:$P$404</definedName>
    <definedName name="Z_BAB4825B_2E54_4A6C_A72D_1F8E7B4FEFFB_.wvu.FilterData" localSheetId="0" hidden="1">'на 01.12.2016'!$A$7:$P$404</definedName>
    <definedName name="Z_BAFB3A8F_5ACD_4C4A_A33C_831C754D88C0_.wvu.FilterData" localSheetId="0" hidden="1">'на 01.12.2016'!$A$7:$P$404</definedName>
    <definedName name="Z_BC09D690_D177_4FC8_AE1F_8F0F0D5C6ECD_.wvu.FilterData" localSheetId="0" hidden="1">'на 01.12.2016'!$A$7:$P$404</definedName>
    <definedName name="Z_BC6910FC_42F8_457B_8F8D_9BC0111CE283_.wvu.FilterData" localSheetId="0" hidden="1">'на 01.12.2016'!$A$7:$P$404</definedName>
    <definedName name="Z_BE442298_736F_47F5_9592_76FFCCDA59DB_.wvu.FilterData" localSheetId="0" hidden="1">'на 01.12.2016'!$A$7:$K$146</definedName>
    <definedName name="Z_BE97AC31_BFEB_4520_BC44_68B0C987C70A_.wvu.FilterData" localSheetId="0" hidden="1">'на 01.12.2016'!$A$7:$P$404</definedName>
    <definedName name="Z_BEA0FDBA_BB07_4C19_8BBD_5E57EE395C09_.wvu.Cols" localSheetId="0" hidden="1">'на 01.12.2016'!$C:$E,'на 01.12.2016'!$M:$N</definedName>
    <definedName name="Z_BEA0FDBA_BB07_4C19_8BBD_5E57EE395C09_.wvu.FilterData" localSheetId="0" hidden="1">'на 01.12.2016'!$A$7:$P$404</definedName>
    <definedName name="Z_BEA0FDBA_BB07_4C19_8BBD_5E57EE395C09_.wvu.PrintArea" localSheetId="0" hidden="1">'на 01.12.2016'!$A$1:$R$197</definedName>
    <definedName name="Z_BEA0FDBA_BB07_4C19_8BBD_5E57EE395C09_.wvu.PrintTitles" localSheetId="0" hidden="1">'на 01.12.2016'!$5:$8</definedName>
    <definedName name="Z_BF65F093_304D_44F0_BF26_E5F8F9093CF5_.wvu.FilterData" localSheetId="0" hidden="1">'на 01.12.2016'!$A$7:$P$61</definedName>
    <definedName name="Z_C2E7FF11_4F7B_4EA9_AD45_A8385AC4BC24_.wvu.FilterData" localSheetId="0" hidden="1">'на 01.12.2016'!$A$7:$K$146</definedName>
    <definedName name="Z_C3E7B974_7E68_49C9_8A66_DEBBC3D71CB8_.wvu.FilterData" localSheetId="0" hidden="1">'на 01.12.2016'!$A$7:$K$146</definedName>
    <definedName name="Z_C47D5376_4107_461D_B353_0F0CCA5A27B8_.wvu.FilterData" localSheetId="0" hidden="1">'на 01.12.2016'!$A$7:$K$146</definedName>
    <definedName name="Z_C4A81194_E272_4927_9E06_D47C43E50753_.wvu.FilterData" localSheetId="0" hidden="1">'на 01.12.2016'!$A$7:$P$404</definedName>
    <definedName name="Z_C55D9313_9108_41CA_AD0E_FE2F7292C638_.wvu.FilterData" localSheetId="0" hidden="1">'на 01.12.2016'!$A$7:$K$146</definedName>
    <definedName name="Z_C5D84F85_3611_4C2A_903D_ECFF3A3DA3D9_.wvu.FilterData" localSheetId="0" hidden="1">'на 01.12.2016'!$A$7:$K$146</definedName>
    <definedName name="Z_C70C85CF_5ADB_4631_87C7_BA23E9BE3196_.wvu.FilterData" localSheetId="0" hidden="1">'на 01.12.2016'!$A$7:$P$404</definedName>
    <definedName name="Z_C74598AC_1D4B_466D_8455_294C1A2E69BB_.wvu.FilterData" localSheetId="0" hidden="1">'на 01.12.2016'!$A$7:$K$146</definedName>
    <definedName name="Z_C8C7D91A_0101_429D_A7C4_25C2A366909A_.wvu.Cols" localSheetId="0" hidden="1">'на 01.12.2016'!#REF!,'на 01.12.2016'!#REF!</definedName>
    <definedName name="Z_C8C7D91A_0101_429D_A7C4_25C2A366909A_.wvu.FilterData" localSheetId="0" hidden="1">'на 01.12.2016'!$A$7:$P$61</definedName>
    <definedName name="Z_C8C7D91A_0101_429D_A7C4_25C2A366909A_.wvu.Rows" localSheetId="0" hidden="1">'на 01.12.2016'!#REF!,'на 01.12.2016'!#REF!,'на 01.12.2016'!#REF!,'на 01.12.2016'!#REF!,'на 01.12.2016'!#REF!,'на 01.12.2016'!#REF!,'на 01.12.2016'!#REF!,'на 01.12.2016'!#REF!,'на 01.12.2016'!#REF!,'на 01.12.2016'!#REF!</definedName>
    <definedName name="Z_C9081176_529C_43E8_8E20_8AC24E7C2D35_.wvu.FilterData" localSheetId="0" hidden="1">'на 01.12.2016'!$A$7:$P$404</definedName>
    <definedName name="Z_C94FB5D5_E515_4327_B4DC_AC3D7C1A6363_.wvu.FilterData" localSheetId="0" hidden="1">'на 01.12.2016'!$A$7:$P$404</definedName>
    <definedName name="Z_C98B4A4E_FC1F_45B3_ABB0_7DC9BD4B8057_.wvu.FilterData" localSheetId="0" hidden="1">'на 01.12.2016'!$A$7:$K$146</definedName>
    <definedName name="Z_CAAD7F8A_A328_4C0A_9ECF_2AD83A08D699_.wvu.FilterData" localSheetId="0" hidden="1">'на 01.12.2016'!$A$7:$K$146</definedName>
    <definedName name="Z_CB1A56DC_A135_41E6_8A02_AE4E518C879F_.wvu.FilterData" localSheetId="0" hidden="1">'на 01.12.2016'!$A$7:$P$404</definedName>
    <definedName name="Z_CB4880DD_CE83_4DFC_BBA7_70687256D5A4_.wvu.FilterData" localSheetId="0" hidden="1">'на 01.12.2016'!$A$7:$K$146</definedName>
    <definedName name="Z_CBDBA949_FA00_4560_8001_BD00E63FCCA4_.wvu.FilterData" localSheetId="0" hidden="1">'на 01.12.2016'!$A$7:$P$404</definedName>
    <definedName name="Z_CBF12BD1_A071_4448_8003_32E74F40E3E3_.wvu.FilterData" localSheetId="0" hidden="1">'на 01.12.2016'!$A$7:$K$146</definedName>
    <definedName name="Z_CBF9D894_3FD2_4B68_BAC8_643DB23851C0_.wvu.FilterData" localSheetId="0" hidden="1">'на 01.12.2016'!$A$7:$K$146</definedName>
    <definedName name="Z_CBF9D894_3FD2_4B68_BAC8_643DB23851C0_.wvu.Rows" localSheetId="0" hidden="1">'на 01.12.2016'!#REF!,'на 01.12.2016'!#REF!,'на 01.12.2016'!#REF!,'на 01.12.2016'!#REF!</definedName>
    <definedName name="Z_CCC17219_B1A3_4C6B_B903_0E4550432FD0_.wvu.FilterData" localSheetId="0" hidden="1">'на 01.12.2016'!$A$7:$K$146</definedName>
    <definedName name="Z_D165341F_496A_48CE_829A_555B16787041_.wvu.FilterData" localSheetId="0" hidden="1">'на 01.12.2016'!$A$7:$P$404</definedName>
    <definedName name="Z_D20DFCFE_63F9_4265_B37B_4F36C46DF159_.wvu.Cols" localSheetId="0" hidden="1">'на 01.12.2016'!$C:$E,'на 01.12.2016'!$M:$N</definedName>
    <definedName name="Z_D20DFCFE_63F9_4265_B37B_4F36C46DF159_.wvu.FilterData" localSheetId="0" hidden="1">'на 01.12.2016'!$A$7:$P$404</definedName>
    <definedName name="Z_D20DFCFE_63F9_4265_B37B_4F36C46DF159_.wvu.PrintArea" localSheetId="0" hidden="1">'на 01.12.2016'!$A$1:$P$197</definedName>
    <definedName name="Z_D20DFCFE_63F9_4265_B37B_4F36C46DF159_.wvu.PrintTitles" localSheetId="0" hidden="1">'на 01.12.2016'!$5:$8</definedName>
    <definedName name="Z_D20DFCFE_63F9_4265_B37B_4F36C46DF159_.wvu.Rows" localSheetId="0" hidden="1">'на 01.12.2016'!#REF!,'на 01.12.2016'!#REF!,'на 01.12.2016'!#REF!,'на 01.12.2016'!#REF!,'на 01.12.2016'!#REF!</definedName>
    <definedName name="Z_D2422493_0DF6_4923_AFF9_1CE532FC9E0E_.wvu.FilterData" localSheetId="0" hidden="1">'на 01.12.2016'!$A$7:$P$404</definedName>
    <definedName name="Z_D26EAC32_42CC_46AF_8D27_8094727B2B8E_.wvu.FilterData" localSheetId="0" hidden="1">'на 01.12.2016'!$A$7:$P$404</definedName>
    <definedName name="Z_D298563F_7459_410D_A6E1_6B1CDFA6DAA7_.wvu.FilterData" localSheetId="0" hidden="1">'на 01.12.2016'!$A$7:$P$404</definedName>
    <definedName name="Z_D2D627FD_8F1D_4B0C_A4A1_1A515A2831A8_.wvu.FilterData" localSheetId="0" hidden="1">'на 01.12.2016'!$A$7:$P$404</definedName>
    <definedName name="Z_D343F548_3DE6_4716_9B8B_0FF1DF1B1DE3_.wvu.FilterData" localSheetId="0" hidden="1">'на 01.12.2016'!$A$7:$K$146</definedName>
    <definedName name="Z_D3607008_88A4_4735_BF9B_0D60A732D98C_.wvu.FilterData" localSheetId="0" hidden="1">'на 01.12.2016'!$A$7:$P$404</definedName>
    <definedName name="Z_D3C3EFC2_493C_4B9B_BC16_8147B08F8F65_.wvu.FilterData" localSheetId="0" hidden="1">'на 01.12.2016'!$A$7:$K$146</definedName>
    <definedName name="Z_D3D848E7_EB88_4E73_985E_C45B9AE68145_.wvu.FilterData" localSheetId="0" hidden="1">'на 01.12.2016'!$A$7:$P$404</definedName>
    <definedName name="Z_D3E86F4B_12A8_47CC_AEBE_74534991E315_.wvu.FilterData" localSheetId="0" hidden="1">'на 01.12.2016'!$A$7:$P$404</definedName>
    <definedName name="Z_D3F31BC4_4CDA_431B_BA5F_ADE76A923760_.wvu.FilterData" localSheetId="0" hidden="1">'на 01.12.2016'!$A$7:$K$146</definedName>
    <definedName name="Z_D45ABB34_16CC_462D_8459_2034D47F465D_.wvu.FilterData" localSheetId="0" hidden="1">'на 01.12.2016'!$A$7:$K$146</definedName>
    <definedName name="Z_D479007E_A9E8_4307_A3E8_18A2BB5C55F2_.wvu.FilterData" localSheetId="0" hidden="1">'на 01.12.2016'!$A$7:$P$404</definedName>
    <definedName name="Z_D48CEF89_B01B_4E1D_92B4_235EA4A40F11_.wvu.FilterData" localSheetId="0" hidden="1">'на 01.12.2016'!$A$7:$P$404</definedName>
    <definedName name="Z_D4B24D18_8D1D_47A1_AE9B_21E3F9EF98EE_.wvu.FilterData" localSheetId="0" hidden="1">'на 01.12.2016'!$A$7:$P$404</definedName>
    <definedName name="Z_D4E20E73_FD07_4BE4_B8FA_FE6B214643C4_.wvu.FilterData" localSheetId="0" hidden="1">'на 01.12.2016'!$A$7:$P$404</definedName>
    <definedName name="Z_D5317C3A_3EDA_404B_818D_EAF558810951_.wvu.FilterData" localSheetId="0" hidden="1">'на 01.12.2016'!$A$7:$K$146</definedName>
    <definedName name="Z_D537FB3B_712D_486A_BA32_4F73BEB2AA19_.wvu.FilterData" localSheetId="0" hidden="1">'на 01.12.2016'!$A$7:$K$146</definedName>
    <definedName name="Z_D6730C21_0555_4F4D_B589_9DE5CFF9C442_.wvu.FilterData" localSheetId="0" hidden="1">'на 01.12.2016'!$A$7:$K$146</definedName>
    <definedName name="Z_D7BC8E82_4392_4806_9DAE_D94253790B9C_.wvu.Cols" localSheetId="0" hidden="1">'на 01.12.2016'!$C:$E,'на 01.12.2016'!$M:$N,'на 01.12.2016'!$Q:$BT</definedName>
    <definedName name="Z_D7BC8E82_4392_4806_9DAE_D94253790B9C_.wvu.FilterData" localSheetId="0" hidden="1">'на 01.12.2016'!$A$7:$P$404</definedName>
    <definedName name="Z_D7BC8E82_4392_4806_9DAE_D94253790B9C_.wvu.PrintArea" localSheetId="0" hidden="1">'на 01.12.2016'!$A$1:$BT$197</definedName>
    <definedName name="Z_D7BC8E82_4392_4806_9DAE_D94253790B9C_.wvu.PrintTitles" localSheetId="0" hidden="1">'на 01.12.2016'!$5:$7</definedName>
    <definedName name="Z_D7DA24ED_ABB7_4D6E_ACD6_4B88F5184AF8_.wvu.FilterData" localSheetId="0" hidden="1">'на 01.12.2016'!$A$7:$P$404</definedName>
    <definedName name="Z_D8418465_ECB6_40A4_8538_9D6D02B4E5CE_.wvu.FilterData" localSheetId="0" hidden="1">'на 01.12.2016'!$A$7:$K$146</definedName>
    <definedName name="Z_D8836A46_4276_4875_86A1_BB0E2B53006C_.wvu.FilterData" localSheetId="0" hidden="1">'на 01.12.2016'!$A$7:$K$146</definedName>
    <definedName name="Z_D8EBE17E_7A1A_4392_901C_A4C8DD4BAF28_.wvu.FilterData" localSheetId="0" hidden="1">'на 01.12.2016'!$A$7:$K$146</definedName>
    <definedName name="Z_D930048B_C8C6_498D_B7FD_C4CFAF447C25_.wvu.FilterData" localSheetId="0" hidden="1">'на 01.12.2016'!$A$7:$P$404</definedName>
    <definedName name="Z_D93C7415_B321_4E66_84AD_0490D011FDE7_.wvu.FilterData" localSheetId="0" hidden="1">'на 01.12.2016'!$A$7:$P$404</definedName>
    <definedName name="Z_D952F92C_16FA_49C0_ACE1_EEFE2012130A_.wvu.FilterData" localSheetId="0" hidden="1">'на 01.12.2016'!$A$7:$P$404</definedName>
    <definedName name="Z_D954D534_B88D_4A21_85D6_C0757B597D1E_.wvu.FilterData" localSheetId="0" hidden="1">'на 01.12.2016'!$A$7:$P$404</definedName>
    <definedName name="Z_D95852A1_B0FC_4AC5_B62B_5CCBE05B0D15_.wvu.Cols" localSheetId="0" hidden="1">'на 01.12.2016'!$C:$E,'на 01.12.2016'!$M:$N</definedName>
    <definedName name="Z_D95852A1_B0FC_4AC5_B62B_5CCBE05B0D15_.wvu.FilterData" localSheetId="0" hidden="1">'на 01.12.2016'!$A$7:$P$404</definedName>
    <definedName name="Z_D95852A1_B0FC_4AC5_B62B_5CCBE05B0D15_.wvu.PrintArea" localSheetId="0" hidden="1">'на 01.12.2016'!$A$1:$P$197</definedName>
    <definedName name="Z_D97BC9A1_860C_45CB_8FAD_B69CEE39193C_.wvu.FilterData" localSheetId="0" hidden="1">'на 01.12.2016'!$A$7:$K$146</definedName>
    <definedName name="Z_D981844C_3450_4227_997A_DB8016618FC0_.wvu.FilterData" localSheetId="0" hidden="1">'на 01.12.2016'!$A$7:$P$404</definedName>
    <definedName name="Z_DA3033F1_502F_4BCA_B468_CBA3E20E7254_.wvu.FilterData" localSheetId="0" hidden="1">'на 01.12.2016'!$A$7:$P$404</definedName>
    <definedName name="Z_DA5DFA2D_C1AA_42F5_8828_D1905F1C9BD0_.wvu.FilterData" localSheetId="0" hidden="1">'на 01.12.2016'!$A$7:$P$404</definedName>
    <definedName name="Z_DBB88EE7_5C30_443C_A427_07BA2C7C58DA_.wvu.FilterData" localSheetId="0" hidden="1">'на 01.12.2016'!$A$7:$P$404</definedName>
    <definedName name="Z_DBF40914_927D_466F_8B6B_F333D1AFC9B0_.wvu.FilterData" localSheetId="0" hidden="1">'на 01.12.2016'!$A$7:$P$404</definedName>
    <definedName name="Z_DC263B7F_7E05_4E66_AE9F_05D6DDE635B1_.wvu.FilterData" localSheetId="0" hidden="1">'на 01.12.2016'!$A$7:$K$146</definedName>
    <definedName name="Z_DC796824_ECED_4590_A3E8_8D5A3534C637_.wvu.FilterData" localSheetId="0" hidden="1">'на 01.12.2016'!$A$7:$K$146</definedName>
    <definedName name="Z_DCC1B134_1BA2_418E_B1D0_0938D8743370_.wvu.FilterData" localSheetId="0" hidden="1">'на 01.12.2016'!$A$7:$K$146</definedName>
    <definedName name="Z_DDA68DE5_EF86_4A52_97CD_589088C5FE7A_.wvu.FilterData" localSheetId="0" hidden="1">'на 01.12.2016'!$A$7:$K$146</definedName>
    <definedName name="Z_DE210091_3D77_4964_B6B2_443A728CBE9E_.wvu.FilterData" localSheetId="0" hidden="1">'на 01.12.2016'!$A$7:$P$404</definedName>
    <definedName name="Z_DE2C3999_6F3E_4D24_86CF_8803BF5FAA48_.wvu.FilterData" localSheetId="0" hidden="1">'на 01.12.2016'!$A$7:$P$61</definedName>
    <definedName name="Z_DEA6EDB2_F27D_4C8F_B061_FD80BEC5543F_.wvu.FilterData" localSheetId="0" hidden="1">'на 01.12.2016'!$A$7:$K$146</definedName>
    <definedName name="Z_DECE3245_1BE4_4A3F_B644_E8DE80612C1E_.wvu.FilterData" localSheetId="0" hidden="1">'на 01.12.2016'!$A$7:$P$404</definedName>
    <definedName name="Z_DF6B7D46_D8DB_447A_83A4_53EE18358CF2_.wvu.FilterData" localSheetId="0" hidden="1">'на 01.12.2016'!$A$7:$P$404</definedName>
    <definedName name="Z_DFB08918_D5A4_4224_AEA5_63620C0D53DD_.wvu.FilterData" localSheetId="0" hidden="1">'на 01.12.2016'!$A$7:$P$404</definedName>
    <definedName name="Z_E0B34E03_0754_4713_9A98_5ACEE69C9E71_.wvu.FilterData" localSheetId="0" hidden="1">'на 01.12.2016'!$A$7:$K$146</definedName>
    <definedName name="Z_E1E7843B_3EC3_4FFF_9B1C_53E7DE6A4004_.wvu.FilterData" localSheetId="0" hidden="1">'на 01.12.2016'!$A$7:$K$146</definedName>
    <definedName name="Z_E25FE844_1AD8_4E16_B2DB_9033A702F13A_.wvu.FilterData" localSheetId="0" hidden="1">'на 01.12.2016'!$A$7:$K$146</definedName>
    <definedName name="Z_E2861A4E_263A_4BE6_9223_2DA352B0AD2D_.wvu.FilterData" localSheetId="0" hidden="1">'на 01.12.2016'!$A$7:$K$146</definedName>
    <definedName name="Z_E2FB76DF_1C94_4620_8087_FEE12FDAA3D2_.wvu.FilterData" localSheetId="0" hidden="1">'на 01.12.2016'!$A$7:$K$146</definedName>
    <definedName name="Z_E3C6ECC1_0F12_435D_9B36_B23F6133337F_.wvu.FilterData" localSheetId="0" hidden="1">'на 01.12.2016'!$A$7:$K$146</definedName>
    <definedName name="Z_E437F2F2_3B79_49F0_9901_D31498A163D7_.wvu.FilterData" localSheetId="0" hidden="1">'на 01.12.2016'!$A$7:$P$404</definedName>
    <definedName name="Z_E531BAEE_E556_4AEF_B35B_C675BD99939C_.wvu.FilterData" localSheetId="0" hidden="1">'на 01.12.2016'!$A$7:$P$404</definedName>
    <definedName name="Z_E5EC7523_F88D_4AD4_9A8D_84C16AB7BFC1_.wvu.FilterData" localSheetId="0" hidden="1">'на 01.12.2016'!$A$7:$P$404</definedName>
    <definedName name="Z_E79ABD49_719F_4887_A43D_3DE66BF8AD95_.wvu.FilterData" localSheetId="0" hidden="1">'на 01.12.2016'!$A$7:$P$404</definedName>
    <definedName name="Z_E85A9955_A3DD_46D7_A4A3_9B67A0E2B00C_.wvu.FilterData" localSheetId="0" hidden="1">'на 01.12.2016'!$A$7:$P$404</definedName>
    <definedName name="Z_E88E1D11_18C0_4724_9D4F_2C85DDF57564_.wvu.FilterData" localSheetId="0" hidden="1">'на 01.12.2016'!$A$7:$K$146</definedName>
    <definedName name="Z_E9A4F66F_BB40_4C19_8750_6E61AF1D74A1_.wvu.FilterData" localSheetId="0" hidden="1">'на 01.12.2016'!$A$7:$P$404</definedName>
    <definedName name="Z_EA234825_5817_4C50_AC45_83D70F061045_.wvu.FilterData" localSheetId="0" hidden="1">'на 01.12.2016'!$A$7:$P$404</definedName>
    <definedName name="Z_EA769D6D_3269_481D_9974_BC10C6C55FF6_.wvu.FilterData" localSheetId="0" hidden="1">'на 01.12.2016'!$A$7:$K$146</definedName>
    <definedName name="Z_EB2D8BE6_72BC_4D23_BEC7_DBF109493B0C_.wvu.FilterData" localSheetId="0" hidden="1">'на 01.12.2016'!$A$7:$P$404</definedName>
    <definedName name="Z_EBCDBD63_50FE_4D52_B280_2A723FA77236_.wvu.FilterData" localSheetId="0" hidden="1">'на 01.12.2016'!$A$7:$K$146</definedName>
    <definedName name="Z_EC6B58CC_C695_4EAF_B026_DA7CE6279D7A_.wvu.FilterData" localSheetId="0" hidden="1">'на 01.12.2016'!$A$7:$P$404</definedName>
    <definedName name="Z_EC741CE0_C720_481D_9CFE_596247B0CF36_.wvu.FilterData" localSheetId="0" hidden="1">'на 01.12.2016'!$A$7:$P$404</definedName>
    <definedName name="Z_EC7DFC56_670B_4634_9C36_1A0E9779A8AB_.wvu.FilterData" localSheetId="0" hidden="1">'на 01.12.2016'!$A$7:$P$404</definedName>
    <definedName name="Z_ED74FBD3_DF35_4798_8C2A_7ADA46D140AA_.wvu.FilterData" localSheetId="0" hidden="1">'на 01.12.2016'!$A$7:$K$146</definedName>
    <definedName name="Z_EF1610FE_843B_4864_9DAD_05F697DD47DC_.wvu.FilterData" localSheetId="0" hidden="1">'на 01.12.2016'!$A$7:$P$404</definedName>
    <definedName name="Z_EFFADE78_6F23_4B5D_AE74_3E82BA29B398_.wvu.FilterData" localSheetId="0" hidden="1">'на 01.12.2016'!$A$7:$K$146</definedName>
    <definedName name="Z_F140A98E_30AA_4FD0_8B93_08F8951EDE5E_.wvu.FilterData" localSheetId="0" hidden="1">'на 01.12.2016'!$A$7:$K$146</definedName>
    <definedName name="Z_F2110B0B_AAE7_42F0_B553_C360E9249AD4_.wvu.Cols" localSheetId="0" hidden="1">'на 01.12.2016'!$C:$E,'на 01.12.2016'!$M:$N,'на 01.12.2016'!$Q:$BT</definedName>
    <definedName name="Z_F2110B0B_AAE7_42F0_B553_C360E9249AD4_.wvu.FilterData" localSheetId="0" hidden="1">'на 01.12.2016'!$A$7:$P$404</definedName>
    <definedName name="Z_F2110B0B_AAE7_42F0_B553_C360E9249AD4_.wvu.PrintArea" localSheetId="0" hidden="1">'на 01.12.2016'!$A$1:$BT$197</definedName>
    <definedName name="Z_F2110B0B_AAE7_42F0_B553_C360E9249AD4_.wvu.PrintTitles" localSheetId="0" hidden="1">'на 01.12.2016'!$5:$7</definedName>
    <definedName name="Z_F30FADD4_07E9_4B4F_B53A_86E542EF0570_.wvu.FilterData" localSheetId="0" hidden="1">'на 01.12.2016'!$A$7:$P$404</definedName>
    <definedName name="Z_F34EC6B1_390D_4B75_852C_F8775ACC3B29_.wvu.FilterData" localSheetId="0" hidden="1">'на 01.12.2016'!$A$7:$P$404</definedName>
    <definedName name="Z_F3E148B1_ED1B_4330_84E7_EFC4722C807A_.wvu.FilterData" localSheetId="0" hidden="1">'на 01.12.2016'!$A$7:$P$404</definedName>
    <definedName name="Z_F413BB5D_EA53_42FB_84EF_A630DFA6E3CE_.wvu.FilterData" localSheetId="0" hidden="1">'на 01.12.2016'!$A$7:$P$404</definedName>
    <definedName name="Z_F8CD48ED_A67F_492E_A417_09D352E93E12_.wvu.FilterData" localSheetId="0" hidden="1">'на 01.12.2016'!$A$7:$K$146</definedName>
    <definedName name="Z_F8E4304E_2CC4_4F73_A08A_BA6FE8EB77EF_.wvu.FilterData" localSheetId="0" hidden="1">'на 01.12.2016'!$A$7:$P$404</definedName>
    <definedName name="Z_F9F96D65_7E5D_4EDB_B47B_CD800EE8793F_.wvu.FilterData" localSheetId="0" hidden="1">'на 01.12.2016'!$A$7:$K$146</definedName>
    <definedName name="Z_FA263ADC_F7F9_4F21_8D0A_B162CFE58321_.wvu.FilterData" localSheetId="0" hidden="1">'на 01.12.2016'!$A$7:$P$404</definedName>
    <definedName name="Z_FA47CA05_CCF1_4EDC_AAF6_26967695B1D8_.wvu.FilterData" localSheetId="0" hidden="1">'на 01.12.2016'!$A$7:$P$404</definedName>
    <definedName name="Z_FAEA1540_FB92_4A7F_8E18_381E2C6FAF74_.wvu.FilterData" localSheetId="0" hidden="1">'на 01.12.2016'!$A$7:$K$146</definedName>
    <definedName name="Z_FBEEEF36_B47B_4551_8D8A_904E9E1222D4_.wvu.FilterData" localSheetId="0" hidden="1">'на 01.12.2016'!$A$7:$K$146</definedName>
    <definedName name="Z_FC921717_EFFF_4C5F_AE15_5DB48A6B2DDC_.wvu.FilterData" localSheetId="0" hidden="1">'на 01.12.2016'!$A$7:$P$404</definedName>
    <definedName name="Z_FCFEE462_86B3_4D22_A291_C53135F468F2_.wvu.FilterData" localSheetId="0" hidden="1">'на 01.12.2016'!$A$7:$P$404</definedName>
    <definedName name="Z_FD01F790_1BBF_4238_916B_FA56833C331E_.wvu.FilterData" localSheetId="0" hidden="1">'на 01.12.2016'!$A$7:$P$404</definedName>
    <definedName name="Z_FD0E1B66_1ED2_4768_AEAA_4813773FCD1B_.wvu.FilterData" localSheetId="0" hidden="1">'на 01.12.2016'!$A$7:$K$146</definedName>
    <definedName name="Z_FD5CEF9A_4499_4018_A32D_B5C5AF11D935_.wvu.FilterData" localSheetId="0" hidden="1">'на 01.12.2016'!$A$7:$P$404</definedName>
    <definedName name="Z_FE9D531A_F987_4486_AC6F_37568587E0CC_.wvu.FilterData" localSheetId="0" hidden="1">'на 01.12.2016'!$A$7:$P$404</definedName>
    <definedName name="Z_FEE18FC2_E5D2_4C59_B7D0_FDF82F2008D4_.wvu.FilterData" localSheetId="0" hidden="1">'на 01.12.2016'!$A$7:$P$404</definedName>
    <definedName name="Z_FEFFCD5F_F237_4316_B50A_6C71D0FF3363_.wvu.FilterData" localSheetId="0" hidden="1">'на 01.12.2016'!$A$7:$P$404</definedName>
    <definedName name="Z_FF7CC20D_CA9E_46D2_A113_9EB09E8A7DF6_.wvu.FilterData" localSheetId="0" hidden="1">'на 01.12.2016'!$A$7:$K$146</definedName>
    <definedName name="Z_FF9EFDBE_F5FD_432E_96BA_C22D4E9B91D4_.wvu.FilterData" localSheetId="0" hidden="1">'на 01.12.2016'!$A$7:$P$404</definedName>
    <definedName name="_xlnm.Print_Titles" localSheetId="0">'на 01.12.2016'!$5:$8</definedName>
    <definedName name="_xlnm.Print_Area" localSheetId="0">'на 01.12.2016'!$A$1:$P$206</definedName>
  </definedNames>
  <calcPr calcId="144525" fullPrecision="0"/>
  <customWorkbookViews>
    <customWorkbookView name="Вершинина Мария Игоревна - Личное представление" guid="{A0A3CD9B-2436-40D7-91DB-589A95FBBF00}" mergeInterval="0" personalView="1" maximized="1" windowWidth="1276" windowHeight="779" tabRatio="518" activeSheetId="1"/>
    <customWorkbookView name="Рогожина Ольга Сергеевна - Личное представление" guid="{BEA0FDBA-BB07-4C19-8BBD-5E57EE395C09}" mergeInterval="0" personalView="1" maximized="1" windowWidth="1276" windowHeight="735" tabRatio="518" activeSheetId="1"/>
    <customWorkbookView name="perevoschikova_av - Личное представление" guid="{649E5CE3-4976-49D9-83DA-4E57FFC714BF}" mergeInterval="0" personalView="1" maximized="1" xWindow="1" yWindow="1" windowWidth="1276" windowHeight="754" tabRatio="518" activeSheetId="1"/>
    <customWorkbookView name="Залецкая Ольга Геннадьевна - Личное представление" guid="{D95852A1-B0FC-4AC5-B62B-5CCBE05B0D15}" mergeInterval="0" personalView="1" maximized="1" windowWidth="1276" windowHeight="779" tabRatio="518" activeSheetId="1"/>
    <customWorkbookView name="kaa - Личное представление" guid="{7B245AB0-C2AF-4822-BFC4-2399F85856C1}" mergeInterval="0" personalView="1" maximized="1" xWindow="1" yWindow="1" windowWidth="1280" windowHeight="803" tabRatio="518" activeSheetId="1"/>
    <customWorkbookView name="Коптеева Елена Анатольевна - Личное представление" guid="{2F7AC811-CA37-46E3-866E-6E10DF43054A}" mergeInterval="0" personalView="1" maximized="1" windowWidth="1276" windowHeight="799" tabRatio="698" activeSheetId="1"/>
    <customWorkbookView name="Соловьёва Ольга Валерьевна - Личное представление" guid="{CB1A56DC-A135-41E6-8A02-AE4E518C879F}" mergeInterval="0" personalView="1" maximized="1" windowWidth="1916" windowHeight="855" tabRatio="623" activeSheetId="1" showComments="commIndAndComment"/>
    <customWorkbookView name="Пользователь - Личное представление" guid="{C8C7D91A-0101-429D-A7C4-25C2A366909A}" mergeInterval="0" personalView="1" maximized="1" windowWidth="1264" windowHeight="759" tabRatio="518" activeSheetId="1"/>
    <customWorkbookView name="1 - Личное представление" guid="{CBF9D894-3FD2-4B68-BAC8-643DB23851C0}" mergeInterval="0" personalView="1" maximized="1" xWindow="1" yWindow="1" windowWidth="1733" windowHeight="798" tabRatio="772" activeSheetId="1"/>
    <customWorkbookView name="BLACKGIRL - Личное представление" guid="{37F8CE32-8CE8-4D95-9C0E-63112E6EFFE9}" mergeInterval="0" personalView="1" maximized="1" windowWidth="1020" windowHeight="576" tabRatio="441" activeSheetId="3"/>
    <customWorkbookView name="Елена - Личное представление" guid="{24E5C1BC-322C-4FEF-B964-F0DCC04482C1}" mergeInterval="0" personalView="1" maximized="1" xWindow="1" yWindow="1" windowWidth="1024" windowHeight="547" tabRatio="896" activeSheetId="1"/>
    <customWorkbookView name="Admin - Личное представление" guid="{2DF88C31-E5A0-4DFE-877D-5A31D3992603}" mergeInterval="0" personalView="1" maximized="1" windowWidth="1276" windowHeight="719" tabRatio="772" activeSheetId="1"/>
    <customWorkbookView name="Михайлова Ирина Ивановна - Личное представление" guid="{9E943B7D-D4C7-443F-BC4C-8AB90546D8A5}" mergeInterval="0" personalView="1" maximized="1" windowWidth="1276" windowHeight="799" tabRatio="477" activeSheetId="1"/>
    <customWorkbookView name="Анастасия Вячеславовна - Личное представление" guid="{F2110B0B-AAE7-42F0-B553-C360E9249AD4}" mergeInterval="0" personalView="1" maximized="1" windowWidth="1276" windowHeight="779" tabRatio="501" activeSheetId="1"/>
    <customWorkbookView name="Михальченко Светлана Николаевна - Личное представление" guid="{D7BC8E82-4392-4806-9DAE-D94253790B9C}" mergeInterval="0" personalView="1" maximized="1" windowWidth="1276" windowHeight="759" tabRatio="501" activeSheetId="1" showComments="commIndAndComment"/>
    <customWorkbookView name="Морычева Надежда Николаевна - Личное представление" guid="{A6B98527-7CBF-4E4D-BDEA-9334A3EB779F}" mergeInterval="0" personalView="1" maximized="1" xWindow="-8" yWindow="-8" windowWidth="1296" windowHeight="1000" tabRatio="501" activeSheetId="1"/>
    <customWorkbookView name="User - Личное представление" guid="{D20DFCFE-63F9-4265-B37B-4F36C46DF159}" mergeInterval="0" personalView="1" maximized="1" xWindow="-8" yWindow="-8" windowWidth="1296" windowHeight="1000" tabRatio="518" activeSheetId="1"/>
    <customWorkbookView name="pav - Личное представление" guid="{539CB3DF-9B66-4BE7-9074-8CE0405EB8A6}" mergeInterval="0" personalView="1" maximized="1" xWindow="1" yWindow="1" windowWidth="1276" windowHeight="794" tabRatio="518" activeSheetId="1"/>
    <customWorkbookView name="kou - Личное представление" guid="{998B8119-4FF3-4A16-838D-539C6AE34D55}" mergeInterval="0" personalView="1" maximized="1" windowWidth="1148" windowHeight="645" tabRatio="518" activeSheetId="1"/>
    <customWorkbookView name="Денисова Евгения Юрьевна - Личное представление" guid="{9FA29541-62F4-4CED-BF33-19F6BA57578F}" mergeInterval="0" personalView="1" maximized="1" windowWidth="1276" windowHeight="759" tabRatio="518" activeSheetId="1"/>
    <customWorkbookView name="Минакова Оксана Сергеевна - Личное представление" guid="{45DE1976-7F07-4EB4-8A9C-FB72D060BEFA}" mergeInterval="0" personalView="1" maximized="1" xWindow="-8" yWindow="-8" windowWidth="1296" windowHeight="1000" tabRatio="518" activeSheetId="1"/>
    <customWorkbookView name="Литвинчук Екатерина Николаевна - Личное представление" guid="{5FB953A5-71FF-4056-AF98-C9D06FF0EDF3}" mergeInterval="0" personalView="1" maximized="1" xWindow="-8" yWindow="-8" windowWidth="1296" windowHeight="1000" tabRatio="518" activeSheetId="1"/>
    <customWorkbookView name="Корунова Олеся Юрьевна - Личное представление" guid="{5EB1B5BB-79BE-4318-9140-3FA31802D519}" mergeInterval="0" personalView="1" maximized="1" xWindow="-8" yWindow="-8" windowWidth="1296" windowHeight="1000" tabRatio="518" activeSheetId="1"/>
    <customWorkbookView name="Шулепова Ольга Анатольевна - Личное представление" guid="{67ADFAE6-A9AF-44D7-8539-93CD0F6B7849}" mergeInterval="0" personalView="1" maximized="1" windowWidth="1276" windowHeight="779" tabRatio="518" activeSheetId="1"/>
  </customWorkbookViews>
  <fileRecoveryPr autoRecover="0"/>
</workbook>
</file>

<file path=xl/calcChain.xml><?xml version="1.0" encoding="utf-8"?>
<calcChain xmlns="http://schemas.openxmlformats.org/spreadsheetml/2006/main">
  <c r="L175" i="1" l="1"/>
  <c r="O47" i="1"/>
  <c r="O46" i="1"/>
  <c r="O45" i="1"/>
  <c r="L43" i="1"/>
  <c r="G43" i="1"/>
  <c r="L189" i="1"/>
  <c r="L176" i="1"/>
  <c r="I47" i="1"/>
  <c r="K27" i="1"/>
  <c r="K24" i="1"/>
  <c r="I24" i="1"/>
  <c r="L32" i="1"/>
  <c r="L33" i="1"/>
  <c r="O43" i="1" l="1"/>
  <c r="L39" i="1"/>
  <c r="S189" i="1"/>
  <c r="L40" i="1"/>
  <c r="O39" i="1"/>
  <c r="F151" i="1"/>
  <c r="J118" i="1"/>
  <c r="S118" i="1" s="1"/>
  <c r="S197" i="1"/>
  <c r="S196" i="1"/>
  <c r="S195" i="1"/>
  <c r="S194" i="1"/>
  <c r="S193" i="1"/>
  <c r="S192" i="1"/>
  <c r="S191" i="1"/>
  <c r="S188" i="1"/>
  <c r="S186" i="1"/>
  <c r="S185" i="1"/>
  <c r="S184" i="1"/>
  <c r="S182" i="1"/>
  <c r="S181" i="1"/>
  <c r="S179" i="1"/>
  <c r="S178" i="1"/>
  <c r="S175" i="1"/>
  <c r="S174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8" i="1"/>
  <c r="S157" i="1"/>
  <c r="S156" i="1"/>
  <c r="S155" i="1"/>
  <c r="S153" i="1"/>
  <c r="S152" i="1"/>
  <c r="S150" i="1"/>
  <c r="S149" i="1"/>
  <c r="S148" i="1"/>
  <c r="S146" i="1"/>
  <c r="S145" i="1"/>
  <c r="S144" i="1"/>
  <c r="S143" i="1"/>
  <c r="S142" i="1"/>
  <c r="S140" i="1"/>
  <c r="S139" i="1"/>
  <c r="S138" i="1"/>
  <c r="S134" i="1"/>
  <c r="S133" i="1"/>
  <c r="S132" i="1"/>
  <c r="S131" i="1"/>
  <c r="S130" i="1"/>
  <c r="S128" i="1"/>
  <c r="S127" i="1"/>
  <c r="S126" i="1"/>
  <c r="S125" i="1"/>
  <c r="S124" i="1"/>
  <c r="S122" i="1"/>
  <c r="S121" i="1"/>
  <c r="S120" i="1"/>
  <c r="S119" i="1"/>
  <c r="S110" i="1"/>
  <c r="S109" i="1"/>
  <c r="S108" i="1"/>
  <c r="S107" i="1"/>
  <c r="S106" i="1"/>
  <c r="S105" i="1"/>
  <c r="S104" i="1"/>
  <c r="S103" i="1"/>
  <c r="S102" i="1"/>
  <c r="S101" i="1"/>
  <c r="S100" i="1"/>
  <c r="S98" i="1"/>
  <c r="S97" i="1"/>
  <c r="S96" i="1"/>
  <c r="S95" i="1"/>
  <c r="S94" i="1"/>
  <c r="S86" i="1"/>
  <c r="S85" i="1"/>
  <c r="S84" i="1"/>
  <c r="S83" i="1"/>
  <c r="S82" i="1"/>
  <c r="S80" i="1"/>
  <c r="S79" i="1"/>
  <c r="S78" i="1"/>
  <c r="S77" i="1"/>
  <c r="S76" i="1"/>
  <c r="S62" i="1"/>
  <c r="S61" i="1"/>
  <c r="S60" i="1"/>
  <c r="S59" i="1"/>
  <c r="S57" i="1"/>
  <c r="S56" i="1"/>
  <c r="S54" i="1"/>
  <c r="S53" i="1"/>
  <c r="S52" i="1"/>
  <c r="S51" i="1"/>
  <c r="S50" i="1"/>
  <c r="S48" i="1"/>
  <c r="S47" i="1"/>
  <c r="S46" i="1"/>
  <c r="S45" i="1"/>
  <c r="S44" i="1"/>
  <c r="S42" i="1"/>
  <c r="S41" i="1"/>
  <c r="S40" i="1"/>
  <c r="S39" i="1"/>
  <c r="S38" i="1"/>
  <c r="S36" i="1"/>
  <c r="S35" i="1"/>
  <c r="S34" i="1"/>
  <c r="S32" i="1"/>
  <c r="S31" i="1"/>
  <c r="S30" i="1"/>
  <c r="S28" i="1"/>
  <c r="S25" i="1"/>
  <c r="S24" i="1"/>
  <c r="S23" i="1"/>
  <c r="S22" i="1"/>
  <c r="S20" i="1"/>
  <c r="S19" i="1"/>
  <c r="S18" i="1"/>
  <c r="S17" i="1"/>
  <c r="S16" i="1"/>
  <c r="F32" i="1"/>
  <c r="F189" i="1" l="1"/>
  <c r="L158" i="1"/>
  <c r="O158" i="1" s="1"/>
  <c r="O157" i="1"/>
  <c r="O156" i="1"/>
  <c r="J45" i="1" l="1"/>
  <c r="G45" i="1"/>
  <c r="G159" i="1"/>
  <c r="F159" i="1"/>
  <c r="G158" i="1"/>
  <c r="F158" i="1"/>
  <c r="J176" i="1" l="1"/>
  <c r="F176" i="1"/>
  <c r="G33" i="1"/>
  <c r="J33" i="1"/>
  <c r="F33" i="1"/>
  <c r="K34" i="1"/>
  <c r="I34" i="1"/>
  <c r="L51" i="1"/>
  <c r="J129" i="1"/>
  <c r="F129" i="1"/>
  <c r="K33" i="1" l="1"/>
  <c r="L190" i="1"/>
  <c r="L150" i="1"/>
  <c r="L26" i="1"/>
  <c r="L25" i="1"/>
  <c r="Q25" i="1"/>
  <c r="L182" i="1"/>
  <c r="L183" i="1"/>
  <c r="K184" i="1"/>
  <c r="I184" i="1"/>
  <c r="O67" i="1"/>
  <c r="J67" i="1"/>
  <c r="Q108" i="1"/>
  <c r="O108" i="1"/>
  <c r="M108" i="1"/>
  <c r="N108" i="1" s="1"/>
  <c r="K108" i="1"/>
  <c r="I108" i="1"/>
  <c r="Q107" i="1"/>
  <c r="O107" i="1"/>
  <c r="M107" i="1"/>
  <c r="N107" i="1" s="1"/>
  <c r="K107" i="1"/>
  <c r="I107" i="1"/>
  <c r="Q106" i="1"/>
  <c r="O106" i="1"/>
  <c r="L105" i="1"/>
  <c r="G105" i="1"/>
  <c r="F105" i="1"/>
  <c r="Q104" i="1"/>
  <c r="R104" i="1" s="1"/>
  <c r="Q103" i="1"/>
  <c r="R103" i="1" s="1"/>
  <c r="Q102" i="1"/>
  <c r="O102" i="1"/>
  <c r="M102" i="1"/>
  <c r="N102" i="1" s="1"/>
  <c r="K102" i="1"/>
  <c r="I102" i="1"/>
  <c r="Q101" i="1"/>
  <c r="O101" i="1"/>
  <c r="M101" i="1"/>
  <c r="N101" i="1" s="1"/>
  <c r="K101" i="1"/>
  <c r="I101" i="1"/>
  <c r="Q100" i="1"/>
  <c r="O100" i="1"/>
  <c r="L99" i="1"/>
  <c r="J99" i="1"/>
  <c r="H99" i="1"/>
  <c r="G99" i="1"/>
  <c r="F99" i="1"/>
  <c r="Q98" i="1"/>
  <c r="R98" i="1" s="1"/>
  <c r="Q97" i="1"/>
  <c r="R97" i="1" s="1"/>
  <c r="M97" i="1"/>
  <c r="N97" i="1" s="1"/>
  <c r="Q96" i="1"/>
  <c r="O96" i="1"/>
  <c r="M96" i="1"/>
  <c r="N96" i="1" s="1"/>
  <c r="K96" i="1"/>
  <c r="I96" i="1"/>
  <c r="Q95" i="1"/>
  <c r="O95" i="1"/>
  <c r="M95" i="1"/>
  <c r="N95" i="1" s="1"/>
  <c r="K95" i="1"/>
  <c r="I95" i="1"/>
  <c r="Q94" i="1"/>
  <c r="O94" i="1"/>
  <c r="L93" i="1"/>
  <c r="J93" i="1"/>
  <c r="H93" i="1"/>
  <c r="G93" i="1"/>
  <c r="F93" i="1"/>
  <c r="H92" i="1"/>
  <c r="G92" i="1"/>
  <c r="Q92" i="1" s="1"/>
  <c r="R92" i="1" s="1"/>
  <c r="F92" i="1"/>
  <c r="F74" i="1" s="1"/>
  <c r="L91" i="1"/>
  <c r="L73" i="1" s="1"/>
  <c r="L67" i="1" s="1"/>
  <c r="J91" i="1"/>
  <c r="J73" i="1" s="1"/>
  <c r="H91" i="1"/>
  <c r="G91" i="1"/>
  <c r="G73" i="1" s="1"/>
  <c r="F91" i="1"/>
  <c r="F73" i="1" s="1"/>
  <c r="L90" i="1"/>
  <c r="L72" i="1" s="1"/>
  <c r="J90" i="1"/>
  <c r="H90" i="1"/>
  <c r="G90" i="1"/>
  <c r="G72" i="1" s="1"/>
  <c r="F90" i="1"/>
  <c r="F72" i="1" s="1"/>
  <c r="L89" i="1"/>
  <c r="L71" i="1" s="1"/>
  <c r="H89" i="1"/>
  <c r="G89" i="1"/>
  <c r="F89" i="1"/>
  <c r="F71" i="1" s="1"/>
  <c r="H88" i="1"/>
  <c r="G88" i="1"/>
  <c r="O88" i="1" s="1"/>
  <c r="F88" i="1"/>
  <c r="F70" i="1" s="1"/>
  <c r="Q86" i="1"/>
  <c r="R86" i="1" s="1"/>
  <c r="Q85" i="1"/>
  <c r="R85" i="1" s="1"/>
  <c r="Q84" i="1"/>
  <c r="O84" i="1"/>
  <c r="M84" i="1"/>
  <c r="N84" i="1" s="1"/>
  <c r="K84" i="1"/>
  <c r="I84" i="1"/>
  <c r="Q83" i="1"/>
  <c r="O83" i="1"/>
  <c r="M83" i="1"/>
  <c r="N83" i="1" s="1"/>
  <c r="K83" i="1"/>
  <c r="I83" i="1"/>
  <c r="Q82" i="1"/>
  <c r="O82" i="1"/>
  <c r="L81" i="1"/>
  <c r="J81" i="1"/>
  <c r="H81" i="1"/>
  <c r="G81" i="1"/>
  <c r="F81" i="1"/>
  <c r="Q80" i="1"/>
  <c r="R80" i="1" s="1"/>
  <c r="Q79" i="1"/>
  <c r="R79" i="1" s="1"/>
  <c r="Q78" i="1"/>
  <c r="O78" i="1"/>
  <c r="M78" i="1"/>
  <c r="N78" i="1" s="1"/>
  <c r="K78" i="1"/>
  <c r="I78" i="1"/>
  <c r="Q77" i="1"/>
  <c r="O77" i="1"/>
  <c r="M77" i="1"/>
  <c r="N77" i="1" s="1"/>
  <c r="K77" i="1"/>
  <c r="I77" i="1"/>
  <c r="Q76" i="1"/>
  <c r="O76" i="1"/>
  <c r="L75" i="1"/>
  <c r="J75" i="1"/>
  <c r="H75" i="1"/>
  <c r="G75" i="1"/>
  <c r="F75" i="1"/>
  <c r="L74" i="1"/>
  <c r="L68" i="1" s="1"/>
  <c r="L70" i="1"/>
  <c r="J26" i="1"/>
  <c r="G26" i="1"/>
  <c r="F26" i="1"/>
  <c r="S93" i="1" l="1"/>
  <c r="K26" i="1"/>
  <c r="S99" i="1"/>
  <c r="S81" i="1"/>
  <c r="S90" i="1"/>
  <c r="H74" i="1"/>
  <c r="S74" i="1" s="1"/>
  <c r="S92" i="1"/>
  <c r="S75" i="1"/>
  <c r="H70" i="1"/>
  <c r="S70" i="1" s="1"/>
  <c r="S88" i="1"/>
  <c r="H73" i="1"/>
  <c r="S73" i="1" s="1"/>
  <c r="S91" i="1"/>
  <c r="R95" i="1"/>
  <c r="R101" i="1"/>
  <c r="G74" i="1"/>
  <c r="Q74" i="1" s="1"/>
  <c r="R74" i="1" s="1"/>
  <c r="Q72" i="1"/>
  <c r="M90" i="1"/>
  <c r="M72" i="1" s="1"/>
  <c r="G70" i="1"/>
  <c r="Q70" i="1" s="1"/>
  <c r="Q93" i="1"/>
  <c r="O89" i="1"/>
  <c r="M93" i="1"/>
  <c r="N93" i="1" s="1"/>
  <c r="G71" i="1"/>
  <c r="O71" i="1" s="1"/>
  <c r="L87" i="1"/>
  <c r="R106" i="1"/>
  <c r="R108" i="1"/>
  <c r="I99" i="1"/>
  <c r="Q105" i="1"/>
  <c r="M81" i="1"/>
  <c r="M105" i="1" s="1"/>
  <c r="N105" i="1" s="1"/>
  <c r="O91" i="1"/>
  <c r="G87" i="1"/>
  <c r="H87" i="1"/>
  <c r="O75" i="1"/>
  <c r="O81" i="1"/>
  <c r="O105" i="1" s="1"/>
  <c r="R84" i="1"/>
  <c r="F87" i="1"/>
  <c r="O90" i="1"/>
  <c r="I75" i="1"/>
  <c r="Q75" i="1"/>
  <c r="R78" i="1"/>
  <c r="R83" i="1"/>
  <c r="I89" i="1"/>
  <c r="I90" i="1"/>
  <c r="R94" i="1"/>
  <c r="O99" i="1"/>
  <c r="R102" i="1"/>
  <c r="R107" i="1"/>
  <c r="Q99" i="1"/>
  <c r="K75" i="1"/>
  <c r="R77" i="1"/>
  <c r="Q81" i="1"/>
  <c r="R82" i="1"/>
  <c r="Q88" i="1"/>
  <c r="R88" i="1" s="1"/>
  <c r="K90" i="1"/>
  <c r="O93" i="1"/>
  <c r="R96" i="1"/>
  <c r="K99" i="1"/>
  <c r="L69" i="1"/>
  <c r="F69" i="1"/>
  <c r="O72" i="1"/>
  <c r="Q73" i="1"/>
  <c r="R73" i="1" s="1"/>
  <c r="R76" i="1"/>
  <c r="I81" i="1"/>
  <c r="K81" i="1"/>
  <c r="J89" i="1"/>
  <c r="S89" i="1" s="1"/>
  <c r="Q89" i="1"/>
  <c r="Q90" i="1"/>
  <c r="Q91" i="1"/>
  <c r="I93" i="1"/>
  <c r="K93" i="1"/>
  <c r="R100" i="1"/>
  <c r="K105" i="1"/>
  <c r="H71" i="1"/>
  <c r="H72" i="1"/>
  <c r="J72" i="1"/>
  <c r="M75" i="1"/>
  <c r="N75" i="1" s="1"/>
  <c r="M89" i="1"/>
  <c r="M91" i="1"/>
  <c r="M99" i="1"/>
  <c r="N99" i="1" s="1"/>
  <c r="I105" i="1"/>
  <c r="O175" i="1"/>
  <c r="R89" i="1" l="1"/>
  <c r="O70" i="1"/>
  <c r="R70" i="1" s="1"/>
  <c r="S72" i="1"/>
  <c r="R99" i="1"/>
  <c r="R93" i="1"/>
  <c r="G69" i="1"/>
  <c r="Q69" i="1" s="1"/>
  <c r="N90" i="1"/>
  <c r="N72" i="1" s="1"/>
  <c r="Q87" i="1"/>
  <c r="R105" i="1"/>
  <c r="O87" i="1"/>
  <c r="Q71" i="1"/>
  <c r="R71" i="1" s="1"/>
  <c r="R91" i="1"/>
  <c r="R81" i="1"/>
  <c r="R75" i="1"/>
  <c r="N81" i="1"/>
  <c r="R90" i="1"/>
  <c r="I87" i="1"/>
  <c r="M87" i="1"/>
  <c r="N87" i="1" s="1"/>
  <c r="N89" i="1"/>
  <c r="N71" i="1" s="1"/>
  <c r="M71" i="1"/>
  <c r="I72" i="1"/>
  <c r="I71" i="1"/>
  <c r="H69" i="1"/>
  <c r="K89" i="1"/>
  <c r="J71" i="1"/>
  <c r="S71" i="1" s="1"/>
  <c r="J87" i="1"/>
  <c r="K87" i="1" s="1"/>
  <c r="R72" i="1"/>
  <c r="N91" i="1"/>
  <c r="N73" i="1" s="1"/>
  <c r="M73" i="1"/>
  <c r="K72" i="1"/>
  <c r="O69" i="1"/>
  <c r="O27" i="1"/>
  <c r="R87" i="1" l="1"/>
  <c r="S87" i="1"/>
  <c r="I69" i="1"/>
  <c r="R69" i="1"/>
  <c r="M69" i="1"/>
  <c r="N69" i="1" s="1"/>
  <c r="K71" i="1"/>
  <c r="J69" i="1"/>
  <c r="K69" i="1" s="1"/>
  <c r="L157" i="1"/>
  <c r="S69" i="1" l="1"/>
  <c r="Q157" i="1"/>
  <c r="R157" i="1" s="1"/>
  <c r="Q16" i="1"/>
  <c r="R16" i="1" s="1"/>
  <c r="Q17" i="1"/>
  <c r="Q18" i="1"/>
  <c r="R18" i="1" s="1"/>
  <c r="Q19" i="1"/>
  <c r="Q20" i="1"/>
  <c r="R20" i="1" s="1"/>
  <c r="Q22" i="1"/>
  <c r="R22" i="1" s="1"/>
  <c r="Q23" i="1"/>
  <c r="R23" i="1" s="1"/>
  <c r="Q24" i="1"/>
  <c r="R24" i="1" s="1"/>
  <c r="Q27" i="1"/>
  <c r="R27" i="1" s="1"/>
  <c r="Q28" i="1"/>
  <c r="R28" i="1" s="1"/>
  <c r="Q30" i="1"/>
  <c r="R30" i="1" s="1"/>
  <c r="Q31" i="1"/>
  <c r="R31" i="1" s="1"/>
  <c r="Q34" i="1"/>
  <c r="Q35" i="1"/>
  <c r="R35" i="1" s="1"/>
  <c r="Q36" i="1"/>
  <c r="R36" i="1" s="1"/>
  <c r="Q38" i="1"/>
  <c r="Q39" i="1"/>
  <c r="Q40" i="1"/>
  <c r="Q41" i="1"/>
  <c r="R41" i="1" s="1"/>
  <c r="Q42" i="1"/>
  <c r="R42" i="1" s="1"/>
  <c r="Q44" i="1"/>
  <c r="Q46" i="1"/>
  <c r="Q47" i="1"/>
  <c r="Q48" i="1"/>
  <c r="R48" i="1" s="1"/>
  <c r="Q50" i="1"/>
  <c r="Q52" i="1"/>
  <c r="R52" i="1" s="1"/>
  <c r="Q53" i="1"/>
  <c r="R53" i="1" s="1"/>
  <c r="Q54" i="1"/>
  <c r="Q56" i="1"/>
  <c r="Q58" i="1"/>
  <c r="Q59" i="1"/>
  <c r="R59" i="1" s="1"/>
  <c r="Q60" i="1"/>
  <c r="R60" i="1" s="1"/>
  <c r="Q61" i="1"/>
  <c r="R61" i="1" s="1"/>
  <c r="Q62" i="1"/>
  <c r="R62" i="1" s="1"/>
  <c r="Q109" i="1"/>
  <c r="R109" i="1" s="1"/>
  <c r="Q110" i="1"/>
  <c r="R110" i="1" s="1"/>
  <c r="Q118" i="1"/>
  <c r="Q119" i="1"/>
  <c r="Q120" i="1"/>
  <c r="Q121" i="1"/>
  <c r="R121" i="1" s="1"/>
  <c r="Q122" i="1"/>
  <c r="R122" i="1" s="1"/>
  <c r="Q124" i="1"/>
  <c r="Q125" i="1"/>
  <c r="Q126" i="1"/>
  <c r="Q127" i="1"/>
  <c r="R127" i="1" s="1"/>
  <c r="Q128" i="1"/>
  <c r="R128" i="1" s="1"/>
  <c r="Q130" i="1"/>
  <c r="Q131" i="1"/>
  <c r="Q132" i="1"/>
  <c r="Q133" i="1"/>
  <c r="R133" i="1" s="1"/>
  <c r="Q134" i="1"/>
  <c r="R134" i="1" s="1"/>
  <c r="Q136" i="1"/>
  <c r="Q137" i="1"/>
  <c r="Q138" i="1"/>
  <c r="Q139" i="1"/>
  <c r="R139" i="1" s="1"/>
  <c r="Q140" i="1"/>
  <c r="R140" i="1" s="1"/>
  <c r="Q142" i="1"/>
  <c r="Q143" i="1"/>
  <c r="Q144" i="1"/>
  <c r="Q145" i="1"/>
  <c r="R145" i="1" s="1"/>
  <c r="Q146" i="1"/>
  <c r="R146" i="1" s="1"/>
  <c r="Q148" i="1"/>
  <c r="R148" i="1" s="1"/>
  <c r="Q149" i="1"/>
  <c r="Q151" i="1"/>
  <c r="Q152" i="1"/>
  <c r="Q153" i="1"/>
  <c r="Q155" i="1"/>
  <c r="R155" i="1" s="1"/>
  <c r="Q156" i="1"/>
  <c r="R156" i="1" s="1"/>
  <c r="Q158" i="1"/>
  <c r="R158" i="1" s="1"/>
  <c r="Q160" i="1"/>
  <c r="R160" i="1" s="1"/>
  <c r="Q161" i="1"/>
  <c r="R161" i="1" s="1"/>
  <c r="Q162" i="1"/>
  <c r="R162" i="1" s="1"/>
  <c r="Q163" i="1"/>
  <c r="R163" i="1" s="1"/>
  <c r="Q164" i="1"/>
  <c r="R164" i="1" s="1"/>
  <c r="Q165" i="1"/>
  <c r="R165" i="1" s="1"/>
  <c r="Q166" i="1"/>
  <c r="R166" i="1" s="1"/>
  <c r="Q167" i="1"/>
  <c r="R167" i="1" s="1"/>
  <c r="Q168" i="1"/>
  <c r="R168" i="1" s="1"/>
  <c r="Q169" i="1"/>
  <c r="R169" i="1" s="1"/>
  <c r="Q170" i="1"/>
  <c r="R170" i="1" s="1"/>
  <c r="Q171" i="1"/>
  <c r="R171" i="1" s="1"/>
  <c r="Q172" i="1"/>
  <c r="R172" i="1" s="1"/>
  <c r="Q174" i="1"/>
  <c r="R174" i="1" s="1"/>
  <c r="Q178" i="1"/>
  <c r="R178" i="1" s="1"/>
  <c r="Q179" i="1"/>
  <c r="R179" i="1" s="1"/>
  <c r="Q181" i="1"/>
  <c r="Q184" i="1"/>
  <c r="Q185" i="1"/>
  <c r="R185" i="1" s="1"/>
  <c r="Q186" i="1"/>
  <c r="R186" i="1" s="1"/>
  <c r="Q188" i="1"/>
  <c r="Q191" i="1"/>
  <c r="Q192" i="1"/>
  <c r="Q193" i="1"/>
  <c r="R193" i="1" s="1"/>
  <c r="Q194" i="1"/>
  <c r="R194" i="1" s="1"/>
  <c r="Q195" i="1"/>
  <c r="R195" i="1" s="1"/>
  <c r="Q196" i="1"/>
  <c r="R196" i="1" s="1"/>
  <c r="Q197" i="1"/>
  <c r="R197" i="1" s="1"/>
  <c r="Q32" i="1" l="1"/>
  <c r="H33" i="1"/>
  <c r="I32" i="1"/>
  <c r="J112" i="1"/>
  <c r="J64" i="1" s="1"/>
  <c r="H29" i="1" l="1"/>
  <c r="S33" i="1"/>
  <c r="Q33" i="1"/>
  <c r="O33" i="1"/>
  <c r="J29" i="1"/>
  <c r="I33" i="1"/>
  <c r="J117" i="1"/>
  <c r="S29" i="1" l="1"/>
  <c r="R33" i="1"/>
  <c r="L45" i="1"/>
  <c r="F29" i="1"/>
  <c r="L21" i="1" l="1"/>
  <c r="J21" i="1"/>
  <c r="G21" i="1" l="1"/>
  <c r="Q21" i="1" s="1"/>
  <c r="Q26" i="1"/>
  <c r="H177" i="1"/>
  <c r="S177" i="1" s="1"/>
  <c r="G177" i="1"/>
  <c r="G176" i="1" s="1"/>
  <c r="H176" i="1"/>
  <c r="S176" i="1" s="1"/>
  <c r="K175" i="1"/>
  <c r="I175" i="1"/>
  <c r="Q150" i="1"/>
  <c r="K21" i="1" l="1"/>
  <c r="I176" i="1"/>
  <c r="K176" i="1"/>
  <c r="Q176" i="1"/>
  <c r="O176" i="1"/>
  <c r="Q175" i="1"/>
  <c r="L177" i="1"/>
  <c r="I177" i="1"/>
  <c r="K177" i="1"/>
  <c r="R176" i="1" l="1"/>
  <c r="O177" i="1"/>
  <c r="L173" i="1"/>
  <c r="R175" i="1"/>
  <c r="Q177" i="1"/>
  <c r="Q182" i="1"/>
  <c r="R177" i="1" l="1"/>
  <c r="Q45" i="1"/>
  <c r="Q51" i="1"/>
  <c r="J14" i="1" l="1"/>
  <c r="H26" i="1"/>
  <c r="S26" i="1" l="1"/>
  <c r="I26" i="1"/>
  <c r="O32" i="1"/>
  <c r="R32" i="1" s="1"/>
  <c r="F154" i="1" l="1"/>
  <c r="Q189" i="1"/>
  <c r="H190" i="1"/>
  <c r="S190" i="1" s="1"/>
  <c r="L180" i="1"/>
  <c r="H183" i="1"/>
  <c r="S183" i="1" s="1"/>
  <c r="L159" i="1" l="1"/>
  <c r="H159" i="1"/>
  <c r="J159" i="1" l="1"/>
  <c r="S159" i="1" s="1"/>
  <c r="Q159" i="1"/>
  <c r="O159" i="1"/>
  <c r="K46" i="1"/>
  <c r="K45" i="1"/>
  <c r="J43" i="1"/>
  <c r="I46" i="1"/>
  <c r="I45" i="1"/>
  <c r="H43" i="1"/>
  <c r="S43" i="1" l="1"/>
  <c r="R159" i="1"/>
  <c r="Q183" i="1"/>
  <c r="H58" i="1" l="1"/>
  <c r="S58" i="1" s="1"/>
  <c r="H27" i="1"/>
  <c r="I27" i="1" s="1"/>
  <c r="H21" i="1" l="1"/>
  <c r="S27" i="1"/>
  <c r="Q190" i="1"/>
  <c r="I21" i="1" l="1"/>
  <c r="S21" i="1"/>
  <c r="F21" i="1"/>
  <c r="L57" i="1" l="1"/>
  <c r="Q57" i="1" s="1"/>
  <c r="O182" i="1"/>
  <c r="R182" i="1" s="1"/>
  <c r="O183" i="1"/>
  <c r="R183" i="1" s="1"/>
  <c r="K56" i="1"/>
  <c r="J135" i="1" l="1"/>
  <c r="O19" i="1" l="1"/>
  <c r="R19" i="1" s="1"/>
  <c r="K19" i="1"/>
  <c r="I19" i="1"/>
  <c r="O44" i="1" l="1"/>
  <c r="R44" i="1" s="1"/>
  <c r="R47" i="1"/>
  <c r="O26" i="1"/>
  <c r="R26" i="1" s="1"/>
  <c r="O51" i="1"/>
  <c r="R51" i="1" s="1"/>
  <c r="O54" i="1"/>
  <c r="R54" i="1" s="1"/>
  <c r="O38" i="1" l="1"/>
  <c r="R38" i="1" s="1"/>
  <c r="K38" i="1"/>
  <c r="R39" i="1"/>
  <c r="I156" i="1" l="1"/>
  <c r="O120" i="1"/>
  <c r="R120" i="1" s="1"/>
  <c r="O34" i="1"/>
  <c r="R34" i="1" s="1"/>
  <c r="L49" i="1"/>
  <c r="J173" i="1" l="1"/>
  <c r="O136" i="1" l="1"/>
  <c r="R136" i="1" s="1"/>
  <c r="L135" i="1"/>
  <c r="O144" i="1"/>
  <c r="R144" i="1" s="1"/>
  <c r="O143" i="1"/>
  <c r="R143" i="1" s="1"/>
  <c r="O142" i="1"/>
  <c r="R142" i="1" s="1"/>
  <c r="O138" i="1"/>
  <c r="R138" i="1" s="1"/>
  <c r="O137" i="1"/>
  <c r="R137" i="1" s="1"/>
  <c r="O132" i="1"/>
  <c r="R132" i="1" s="1"/>
  <c r="O131" i="1"/>
  <c r="R131" i="1" s="1"/>
  <c r="O130" i="1"/>
  <c r="R130" i="1" s="1"/>
  <c r="O126" i="1"/>
  <c r="R126" i="1" s="1"/>
  <c r="O125" i="1"/>
  <c r="R125" i="1" s="1"/>
  <c r="O124" i="1"/>
  <c r="R124" i="1" s="1"/>
  <c r="O119" i="1"/>
  <c r="R119" i="1" s="1"/>
  <c r="O118" i="1"/>
  <c r="R118" i="1" s="1"/>
  <c r="O117" i="1" l="1"/>
  <c r="O123" i="1"/>
  <c r="O141" i="1"/>
  <c r="O135" i="1"/>
  <c r="O129" i="1"/>
  <c r="C54" i="1"/>
  <c r="D54" i="1"/>
  <c r="E54" i="1"/>
  <c r="L114" i="1" l="1"/>
  <c r="L66" i="1" s="1"/>
  <c r="L113" i="1"/>
  <c r="L65" i="1" s="1"/>
  <c r="L112" i="1"/>
  <c r="L64" i="1" s="1"/>
  <c r="L129" i="1"/>
  <c r="L63" i="1" l="1"/>
  <c r="L111" i="1"/>
  <c r="O57" i="1"/>
  <c r="R57" i="1" s="1"/>
  <c r="K159" i="1" l="1"/>
  <c r="I159" i="1"/>
  <c r="O184" i="1" l="1"/>
  <c r="R184" i="1" s="1"/>
  <c r="K183" i="1"/>
  <c r="O40" i="1"/>
  <c r="R40" i="1" s="1"/>
  <c r="M187" i="1" l="1"/>
  <c r="N187" i="1"/>
  <c r="J187" i="1"/>
  <c r="L187" i="1" l="1"/>
  <c r="G55" i="1"/>
  <c r="N14" i="1" l="1"/>
  <c r="M14" i="1"/>
  <c r="L14" i="1"/>
  <c r="H187" i="1"/>
  <c r="S187" i="1" s="1"/>
  <c r="G187" i="1"/>
  <c r="F187" i="1"/>
  <c r="R46" i="1"/>
  <c r="O150" i="1"/>
  <c r="R150" i="1" s="1"/>
  <c r="I187" i="1" l="1"/>
  <c r="Q187" i="1"/>
  <c r="K187" i="1"/>
  <c r="R45" i="1"/>
  <c r="L117" i="1"/>
  <c r="M37" i="1"/>
  <c r="N37" i="1"/>
  <c r="O37" i="1"/>
  <c r="J37" i="1"/>
  <c r="G37" i="1"/>
  <c r="H37" i="1"/>
  <c r="S37" i="1" s="1"/>
  <c r="F37" i="1"/>
  <c r="K40" i="1"/>
  <c r="I40" i="1"/>
  <c r="L37" i="1"/>
  <c r="K39" i="1"/>
  <c r="I39" i="1"/>
  <c r="I38" i="1"/>
  <c r="L123" i="1"/>
  <c r="K51" i="1"/>
  <c r="J49" i="1"/>
  <c r="G49" i="1"/>
  <c r="F49" i="1"/>
  <c r="I183" i="1"/>
  <c r="I51" i="1"/>
  <c r="O50" i="1"/>
  <c r="R50" i="1" s="1"/>
  <c r="O190" i="1"/>
  <c r="R190" i="1" s="1"/>
  <c r="O189" i="1"/>
  <c r="R189" i="1" s="1"/>
  <c r="I190" i="1"/>
  <c r="I189" i="1"/>
  <c r="K190" i="1"/>
  <c r="K189" i="1"/>
  <c r="O192" i="1"/>
  <c r="R192" i="1" s="1"/>
  <c r="O191" i="1"/>
  <c r="R191" i="1" s="1"/>
  <c r="O188" i="1"/>
  <c r="R188" i="1" s="1"/>
  <c r="Q37" i="1" l="1"/>
  <c r="R37" i="1" s="1"/>
  <c r="O49" i="1"/>
  <c r="Q49" i="1"/>
  <c r="O187" i="1"/>
  <c r="R187" i="1" s="1"/>
  <c r="H49" i="1"/>
  <c r="F43" i="1"/>
  <c r="I37" i="1"/>
  <c r="K37" i="1"/>
  <c r="K49" i="1"/>
  <c r="I49" i="1" l="1"/>
  <c r="S49" i="1"/>
  <c r="R49" i="1"/>
  <c r="Q43" i="1"/>
  <c r="I43" i="1"/>
  <c r="K43" i="1"/>
  <c r="M21" i="1"/>
  <c r="N21" i="1"/>
  <c r="K25" i="1"/>
  <c r="K153" i="1"/>
  <c r="I153" i="1"/>
  <c r="H151" i="1"/>
  <c r="S151" i="1" s="1"/>
  <c r="F147" i="1"/>
  <c r="O153" i="1"/>
  <c r="R153" i="1" s="1"/>
  <c r="O152" i="1"/>
  <c r="R152" i="1" s="1"/>
  <c r="O149" i="1"/>
  <c r="R149" i="1" s="1"/>
  <c r="L147" i="1"/>
  <c r="L55" i="1"/>
  <c r="Q55" i="1" s="1"/>
  <c r="I158" i="1"/>
  <c r="I157" i="1"/>
  <c r="K158" i="1"/>
  <c r="K157" i="1"/>
  <c r="K156" i="1"/>
  <c r="N154" i="1"/>
  <c r="M154" i="1"/>
  <c r="L154" i="1"/>
  <c r="J154" i="1"/>
  <c r="H154" i="1"/>
  <c r="G154" i="1"/>
  <c r="I25" i="1"/>
  <c r="S154" i="1" l="1"/>
  <c r="R43" i="1"/>
  <c r="O14" i="1"/>
  <c r="Q154" i="1"/>
  <c r="K150" i="1"/>
  <c r="J147" i="1"/>
  <c r="K154" i="1"/>
  <c r="K151" i="1"/>
  <c r="O151" i="1"/>
  <c r="R151" i="1" s="1"/>
  <c r="G147" i="1"/>
  <c r="Q147" i="1" s="1"/>
  <c r="O25" i="1"/>
  <c r="R25" i="1" s="1"/>
  <c r="I151" i="1"/>
  <c r="I154" i="1"/>
  <c r="O154" i="1"/>
  <c r="L29" i="1"/>
  <c r="G29" i="1"/>
  <c r="M29" i="1"/>
  <c r="N29" i="1"/>
  <c r="K32" i="1"/>
  <c r="R154" i="1" l="1"/>
  <c r="O21" i="1"/>
  <c r="R21" i="1" s="1"/>
  <c r="O147" i="1"/>
  <c r="R147" i="1" s="1"/>
  <c r="Q29" i="1"/>
  <c r="K147" i="1"/>
  <c r="O29" i="1"/>
  <c r="K29" i="1"/>
  <c r="I29" i="1"/>
  <c r="R29" i="1" l="1"/>
  <c r="G173" i="1"/>
  <c r="H173" i="1"/>
  <c r="S173" i="1" s="1"/>
  <c r="M173" i="1"/>
  <c r="N173" i="1"/>
  <c r="F173" i="1"/>
  <c r="J55" i="1"/>
  <c r="Q173" i="1" l="1"/>
  <c r="K173" i="1"/>
  <c r="I173" i="1"/>
  <c r="O173" i="1"/>
  <c r="O181" i="1"/>
  <c r="R181" i="1" s="1"/>
  <c r="G180" i="1"/>
  <c r="H180" i="1"/>
  <c r="J180" i="1"/>
  <c r="M180" i="1"/>
  <c r="N180" i="1"/>
  <c r="F180" i="1"/>
  <c r="K182" i="1"/>
  <c r="I182" i="1"/>
  <c r="S180" i="1" l="1"/>
  <c r="R173" i="1"/>
  <c r="O180" i="1"/>
  <c r="Q180" i="1"/>
  <c r="I150" i="1"/>
  <c r="H147" i="1"/>
  <c r="K180" i="1"/>
  <c r="I180" i="1"/>
  <c r="M142" i="1"/>
  <c r="N142" i="1" s="1"/>
  <c r="K142" i="1"/>
  <c r="I142" i="1"/>
  <c r="J141" i="1"/>
  <c r="H141" i="1"/>
  <c r="G141" i="1"/>
  <c r="Q141" i="1" s="1"/>
  <c r="R141" i="1" s="1"/>
  <c r="F141" i="1"/>
  <c r="M137" i="1"/>
  <c r="K137" i="1"/>
  <c r="H137" i="1"/>
  <c r="M136" i="1"/>
  <c r="K136" i="1"/>
  <c r="H136" i="1"/>
  <c r="G135" i="1"/>
  <c r="Q135" i="1" s="1"/>
  <c r="R135" i="1" s="1"/>
  <c r="F135" i="1"/>
  <c r="M130" i="1"/>
  <c r="N130" i="1" s="1"/>
  <c r="K130" i="1"/>
  <c r="I130" i="1"/>
  <c r="H129" i="1"/>
  <c r="S129" i="1" s="1"/>
  <c r="G129" i="1"/>
  <c r="Q129" i="1" s="1"/>
  <c r="R129" i="1" s="1"/>
  <c r="M125" i="1"/>
  <c r="K125" i="1"/>
  <c r="I125" i="1"/>
  <c r="J123" i="1"/>
  <c r="H123" i="1"/>
  <c r="G123" i="1"/>
  <c r="Q123" i="1" s="1"/>
  <c r="R123" i="1" s="1"/>
  <c r="F123" i="1"/>
  <c r="N122" i="1"/>
  <c r="N121" i="1"/>
  <c r="M120" i="1"/>
  <c r="K120" i="1"/>
  <c r="I120" i="1"/>
  <c r="M119" i="1"/>
  <c r="K119" i="1"/>
  <c r="I119" i="1"/>
  <c r="M118" i="1"/>
  <c r="K118" i="1"/>
  <c r="I118" i="1"/>
  <c r="H117" i="1"/>
  <c r="S117" i="1" s="1"/>
  <c r="G117" i="1"/>
  <c r="Q117" i="1" s="1"/>
  <c r="R117" i="1" s="1"/>
  <c r="F117" i="1"/>
  <c r="H116" i="1"/>
  <c r="G116" i="1"/>
  <c r="F116" i="1"/>
  <c r="F68" i="1" s="1"/>
  <c r="H115" i="1"/>
  <c r="G115" i="1"/>
  <c r="F115" i="1"/>
  <c r="F67" i="1" s="1"/>
  <c r="J114" i="1"/>
  <c r="J66" i="1" s="1"/>
  <c r="H114" i="1"/>
  <c r="G114" i="1"/>
  <c r="G66" i="1" s="1"/>
  <c r="F114" i="1"/>
  <c r="F66" i="1" s="1"/>
  <c r="J113" i="1"/>
  <c r="J65" i="1" s="1"/>
  <c r="G113" i="1"/>
  <c r="G65" i="1" s="1"/>
  <c r="F113" i="1"/>
  <c r="F65" i="1" s="1"/>
  <c r="F11" i="1" s="1"/>
  <c r="G112" i="1"/>
  <c r="G64" i="1" s="1"/>
  <c r="F112" i="1"/>
  <c r="F64" i="1" s="1"/>
  <c r="S141" i="1" l="1"/>
  <c r="H68" i="1"/>
  <c r="S68" i="1" s="1"/>
  <c r="S116" i="1"/>
  <c r="H113" i="1"/>
  <c r="S113" i="1" s="1"/>
  <c r="S137" i="1"/>
  <c r="I147" i="1"/>
  <c r="S147" i="1"/>
  <c r="H66" i="1"/>
  <c r="S66" i="1" s="1"/>
  <c r="S114" i="1"/>
  <c r="H67" i="1"/>
  <c r="S67" i="1" s="1"/>
  <c r="S115" i="1"/>
  <c r="S123" i="1"/>
  <c r="H112" i="1"/>
  <c r="S136" i="1"/>
  <c r="Q116" i="1"/>
  <c r="R116" i="1" s="1"/>
  <c r="G68" i="1"/>
  <c r="Q115" i="1"/>
  <c r="R115" i="1" s="1"/>
  <c r="G67" i="1"/>
  <c r="G63" i="1" s="1"/>
  <c r="F63" i="1"/>
  <c r="R180" i="1"/>
  <c r="O112" i="1"/>
  <c r="O64" i="1" s="1"/>
  <c r="Q112" i="1"/>
  <c r="O114" i="1"/>
  <c r="O66" i="1" s="1"/>
  <c r="Q114" i="1"/>
  <c r="O113" i="1"/>
  <c r="O65" i="1" s="1"/>
  <c r="Q113" i="1"/>
  <c r="F111" i="1"/>
  <c r="F10" i="1"/>
  <c r="F13" i="1"/>
  <c r="M141" i="1"/>
  <c r="J12" i="1"/>
  <c r="F12" i="1"/>
  <c r="I117" i="1"/>
  <c r="M117" i="1"/>
  <c r="M112" i="1"/>
  <c r="I129" i="1"/>
  <c r="M67" i="1"/>
  <c r="M13" i="1" s="1"/>
  <c r="I112" i="1"/>
  <c r="J13" i="1"/>
  <c r="K114" i="1"/>
  <c r="J111" i="1"/>
  <c r="M113" i="1"/>
  <c r="N113" i="1" s="1"/>
  <c r="M123" i="1"/>
  <c r="F14" i="1"/>
  <c r="M114" i="1"/>
  <c r="G111" i="1"/>
  <c r="Q111" i="1" s="1"/>
  <c r="H135" i="1"/>
  <c r="I141" i="1"/>
  <c r="N118" i="1"/>
  <c r="K113" i="1"/>
  <c r="I114" i="1"/>
  <c r="K117" i="1"/>
  <c r="M135" i="1"/>
  <c r="K112" i="1"/>
  <c r="I123" i="1"/>
  <c r="M129" i="1"/>
  <c r="I136" i="1"/>
  <c r="N136" i="1"/>
  <c r="I137" i="1"/>
  <c r="N137" i="1"/>
  <c r="N119" i="1"/>
  <c r="N125" i="1"/>
  <c r="N120" i="1"/>
  <c r="K123" i="1"/>
  <c r="K129" i="1"/>
  <c r="K135" i="1"/>
  <c r="K141" i="1"/>
  <c r="H111" i="1" l="1"/>
  <c r="H14" i="1"/>
  <c r="S14" i="1" s="1"/>
  <c r="H13" i="1"/>
  <c r="S13" i="1" s="1"/>
  <c r="H65" i="1"/>
  <c r="S65" i="1" s="1"/>
  <c r="I135" i="1"/>
  <c r="S135" i="1"/>
  <c r="H64" i="1"/>
  <c r="S64" i="1" s="1"/>
  <c r="S112" i="1"/>
  <c r="S111" i="1"/>
  <c r="R113" i="1"/>
  <c r="R112" i="1"/>
  <c r="R114" i="1"/>
  <c r="Q68" i="1"/>
  <c r="R68" i="1" s="1"/>
  <c r="O111" i="1"/>
  <c r="R111" i="1" s="1"/>
  <c r="G14" i="1"/>
  <c r="N112" i="1"/>
  <c r="N64" i="1" s="1"/>
  <c r="N10" i="1" s="1"/>
  <c r="N141" i="1"/>
  <c r="F9" i="1"/>
  <c r="M64" i="1"/>
  <c r="M10" i="1" s="1"/>
  <c r="I113" i="1"/>
  <c r="N67" i="1"/>
  <c r="N13" i="1" s="1"/>
  <c r="J11" i="1"/>
  <c r="L13" i="1"/>
  <c r="N65" i="1"/>
  <c r="N11" i="1" s="1"/>
  <c r="J10" i="1"/>
  <c r="N117" i="1"/>
  <c r="K111" i="1"/>
  <c r="N123" i="1"/>
  <c r="I111" i="1"/>
  <c r="L10" i="1"/>
  <c r="N114" i="1"/>
  <c r="M65" i="1"/>
  <c r="O13" i="1"/>
  <c r="Q66" i="1"/>
  <c r="N135" i="1"/>
  <c r="M111" i="1"/>
  <c r="N129" i="1"/>
  <c r="H11" i="1" l="1"/>
  <c r="H10" i="1"/>
  <c r="S10" i="1" s="1"/>
  <c r="S11" i="1"/>
  <c r="H63" i="1"/>
  <c r="R66" i="1"/>
  <c r="G11" i="1"/>
  <c r="K11" i="1" s="1"/>
  <c r="Q65" i="1"/>
  <c r="G10" i="1"/>
  <c r="Q10" i="1" s="1"/>
  <c r="Q64" i="1"/>
  <c r="K14" i="1"/>
  <c r="Q14" i="1"/>
  <c r="R14" i="1" s="1"/>
  <c r="I14" i="1"/>
  <c r="G13" i="1"/>
  <c r="Q67" i="1"/>
  <c r="R67" i="1" s="1"/>
  <c r="H12" i="1"/>
  <c r="S12" i="1" s="1"/>
  <c r="I65" i="1"/>
  <c r="I64" i="1"/>
  <c r="K64" i="1"/>
  <c r="J63" i="1"/>
  <c r="K65" i="1"/>
  <c r="J9" i="1"/>
  <c r="K66" i="1"/>
  <c r="G12" i="1"/>
  <c r="M11" i="1"/>
  <c r="L11" i="1"/>
  <c r="N66" i="1"/>
  <c r="Q63" i="1"/>
  <c r="N111" i="1"/>
  <c r="L12" i="1"/>
  <c r="I66" i="1"/>
  <c r="M66" i="1"/>
  <c r="M12" i="1" s="1"/>
  <c r="S63" i="1" l="1"/>
  <c r="R64" i="1"/>
  <c r="R65" i="1"/>
  <c r="O63" i="1"/>
  <c r="R63" i="1" s="1"/>
  <c r="K10" i="1"/>
  <c r="Q12" i="1"/>
  <c r="I10" i="1"/>
  <c r="K13" i="1"/>
  <c r="Q13" i="1"/>
  <c r="R13" i="1" s="1"/>
  <c r="I13" i="1"/>
  <c r="Q11" i="1"/>
  <c r="I63" i="1"/>
  <c r="K63" i="1"/>
  <c r="H9" i="1"/>
  <c r="S9" i="1" s="1"/>
  <c r="I11" i="1"/>
  <c r="G9" i="1"/>
  <c r="K12" i="1"/>
  <c r="I12" i="1"/>
  <c r="L9" i="1"/>
  <c r="N63" i="1"/>
  <c r="N12" i="1"/>
  <c r="N9" i="1" s="1"/>
  <c r="M9" i="1"/>
  <c r="M63" i="1"/>
  <c r="Q9" i="1" l="1"/>
  <c r="K9" i="1"/>
  <c r="I9" i="1"/>
  <c r="O58" i="1"/>
  <c r="R58" i="1" s="1"/>
  <c r="O56" i="1"/>
  <c r="R56" i="1" s="1"/>
  <c r="K58" i="1"/>
  <c r="K57" i="1"/>
  <c r="I58" i="1"/>
  <c r="I57" i="1"/>
  <c r="I56" i="1"/>
  <c r="N55" i="1"/>
  <c r="M55" i="1"/>
  <c r="H55" i="1"/>
  <c r="S55" i="1" s="1"/>
  <c r="F55" i="1"/>
  <c r="K17" i="1"/>
  <c r="N15" i="1"/>
  <c r="M15" i="1"/>
  <c r="L15" i="1"/>
  <c r="J15" i="1"/>
  <c r="G15" i="1"/>
  <c r="H15" i="1"/>
  <c r="F15" i="1"/>
  <c r="O17" i="1"/>
  <c r="R17" i="1" s="1"/>
  <c r="I17" i="1"/>
  <c r="S15" i="1" l="1"/>
  <c r="O12" i="1"/>
  <c r="R12" i="1" s="1"/>
  <c r="O10" i="1"/>
  <c r="Q15" i="1"/>
  <c r="O55" i="1"/>
  <c r="R55" i="1" s="1"/>
  <c r="O15" i="1"/>
  <c r="O11" i="1"/>
  <c r="R11" i="1" s="1"/>
  <c r="I15" i="1"/>
  <c r="K15" i="1"/>
  <c r="K55" i="1"/>
  <c r="I55" i="1"/>
  <c r="R15" i="1" l="1"/>
  <c r="R10" i="1"/>
  <c r="R9" i="1"/>
  <c r="O9" i="1"/>
  <c r="C10" i="1"/>
  <c r="D10" i="1"/>
  <c r="E10" i="1"/>
  <c r="C20" i="1"/>
  <c r="D20" i="1"/>
  <c r="E20" i="1"/>
  <c r="C13" i="1"/>
  <c r="D13" i="1"/>
  <c r="E13" i="1"/>
  <c r="C14" i="1"/>
  <c r="D14" i="1"/>
  <c r="E14" i="1"/>
  <c r="C26" i="1"/>
  <c r="C21" i="1" s="1"/>
  <c r="D26" i="1"/>
  <c r="D21" i="1" s="1"/>
  <c r="E26" i="1"/>
  <c r="E21" i="1" s="1"/>
  <c r="C27" i="1"/>
  <c r="D27" i="1"/>
  <c r="E27" i="1"/>
  <c r="C31" i="1"/>
  <c r="C29" i="1" s="1"/>
  <c r="D31" i="1"/>
  <c r="D29" i="1" s="1"/>
  <c r="E31" i="1"/>
  <c r="E29" i="1" s="1"/>
  <c r="C35" i="1"/>
  <c r="D35" i="1"/>
  <c r="E35" i="1"/>
  <c r="C36" i="1"/>
  <c r="D36" i="1"/>
  <c r="E36" i="1"/>
  <c r="C38" i="1"/>
  <c r="E38" i="1"/>
  <c r="C41" i="1"/>
  <c r="D41" i="1"/>
  <c r="E41" i="1"/>
  <c r="C42" i="1"/>
  <c r="D42" i="1"/>
  <c r="E42" i="1"/>
  <c r="D44" i="1"/>
  <c r="C44" i="1"/>
  <c r="C55" i="1"/>
  <c r="D55" i="1"/>
  <c r="E55" i="1"/>
  <c r="C61" i="1"/>
  <c r="D61" i="1"/>
  <c r="E61" i="1"/>
  <c r="C62" i="1"/>
  <c r="D62" i="1"/>
  <c r="E62" i="1"/>
  <c r="C147" i="1"/>
  <c r="D147" i="1"/>
  <c r="E147" i="1"/>
  <c r="C176" i="1"/>
  <c r="C173" i="1" s="1"/>
  <c r="D176" i="1"/>
  <c r="D173" i="1" s="1"/>
  <c r="E176" i="1"/>
  <c r="C179" i="1"/>
  <c r="D179" i="1"/>
  <c r="E179" i="1"/>
  <c r="C181" i="1"/>
  <c r="D181" i="1"/>
  <c r="E181" i="1"/>
  <c r="C185" i="1"/>
  <c r="D185" i="1"/>
  <c r="E185" i="1"/>
  <c r="C186" i="1"/>
  <c r="D186" i="1"/>
  <c r="E186" i="1"/>
  <c r="C188" i="1"/>
  <c r="C187" i="1" s="1"/>
  <c r="D188" i="1"/>
  <c r="D187" i="1" s="1"/>
  <c r="E188" i="1"/>
  <c r="E187" i="1" s="1"/>
  <c r="C195" i="1"/>
  <c r="D195" i="1"/>
  <c r="E195" i="1"/>
  <c r="C196" i="1"/>
  <c r="D196" i="1"/>
  <c r="E196" i="1"/>
  <c r="C197" i="1"/>
  <c r="D197" i="1"/>
  <c r="E197" i="1"/>
  <c r="C15" i="1" l="1"/>
  <c r="D49" i="1"/>
  <c r="C180" i="1"/>
  <c r="E180" i="1"/>
  <c r="D180" i="1"/>
  <c r="D15" i="1"/>
  <c r="C11" i="1"/>
  <c r="C9" i="1" s="1"/>
  <c r="C43" i="1"/>
  <c r="C49" i="1"/>
  <c r="C37" i="1"/>
  <c r="E44" i="1"/>
  <c r="D11" i="1"/>
  <c r="D9" i="1" s="1"/>
  <c r="E37" i="1"/>
  <c r="D43" i="1"/>
  <c r="D38" i="1"/>
  <c r="D37" i="1" s="1"/>
  <c r="D12" i="1"/>
  <c r="C12" i="1"/>
  <c r="E12" i="1"/>
  <c r="E15" i="1"/>
  <c r="E49" i="1" l="1"/>
  <c r="E11" i="1"/>
  <c r="E9" i="1" s="1"/>
  <c r="E43" i="1"/>
</calcChain>
</file>

<file path=xl/comments1.xml><?xml version="1.0" encoding="utf-8"?>
<comments xmlns="http://schemas.openxmlformats.org/spreadsheetml/2006/main">
  <authors>
    <author>Вершинина Мария Игоревна</author>
  </authors>
  <commentList>
    <comment ref="B123" authorId="0">
      <text>
        <r>
          <rPr>
            <b/>
            <sz val="9"/>
            <color indexed="81"/>
            <rFont val="Tahoma"/>
            <family val="2"/>
            <charset val="204"/>
          </rPr>
          <t>Вершинина Мария Игоревна:</t>
        </r>
        <r>
          <rPr>
            <sz val="9"/>
            <color indexed="81"/>
            <rFont val="Tahoma"/>
            <family val="2"/>
            <charset val="204"/>
          </rPr>
          <t xml:space="preserve">
2135
</t>
        </r>
      </text>
    </comment>
  </commentList>
</comments>
</file>

<file path=xl/sharedStrings.xml><?xml version="1.0" encoding="utf-8"?>
<sst xmlns="http://schemas.openxmlformats.org/spreadsheetml/2006/main" count="278" uniqueCount="132">
  <si>
    <t>Факт финансирования</t>
  </si>
  <si>
    <t>5.</t>
  </si>
  <si>
    <t>% исполнения к уточненному плану</t>
  </si>
  <si>
    <t>№ п/п</t>
  </si>
  <si>
    <t>федеральный бюджет</t>
  </si>
  <si>
    <t>привлечённые средства</t>
  </si>
  <si>
    <t>Исполнение</t>
  </si>
  <si>
    <t>Фактически
 профинансировано</t>
  </si>
  <si>
    <t>Наименование программы/подпрограммы</t>
  </si>
  <si>
    <t>Исполнено (кассовый расход)</t>
  </si>
  <si>
    <t>6.</t>
  </si>
  <si>
    <t xml:space="preserve">бюджет МО </t>
  </si>
  <si>
    <t>% к уточненному плану</t>
  </si>
  <si>
    <t>бюджет МО сверх соглашения</t>
  </si>
  <si>
    <t>2.</t>
  </si>
  <si>
    <t>3.</t>
  </si>
  <si>
    <t>бюджет ХМАО-Югры</t>
  </si>
  <si>
    <t>Остатки средств предыдущих периодов 
(на 01.01.2014 года)</t>
  </si>
  <si>
    <t>Исполнение, возврат остатков предыдущих периодов                 
(на 01.02.2014 года)</t>
  </si>
  <si>
    <t xml:space="preserve">Остатки средств предыдущих периодов 
(на 01.02.2014) 
с учетом возврата, исполнения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</si>
  <si>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</si>
  <si>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</si>
  <si>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</si>
  <si>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</si>
  <si>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</si>
  <si>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</si>
  <si>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</si>
  <si>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</si>
  <si>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</si>
  <si>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</si>
  <si>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</si>
  <si>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</si>
  <si>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22.</t>
  </si>
  <si>
    <t>21.</t>
  </si>
  <si>
    <t>20.</t>
  </si>
  <si>
    <t>Всего по программам 
Ханты-Мансийского автономного округа - Югры</t>
  </si>
  <si>
    <t>(тыс. руб.)</t>
  </si>
  <si>
    <t>1.</t>
  </si>
  <si>
    <t>4.</t>
  </si>
  <si>
    <t xml:space="preserve">7. </t>
  </si>
  <si>
    <t>24.</t>
  </si>
  <si>
    <t>25.</t>
  </si>
  <si>
    <t xml:space="preserve">Утвержденный план 
на 2016 год </t>
  </si>
  <si>
    <t xml:space="preserve">Уточненный план 
на 2016 год </t>
  </si>
  <si>
    <t>Ожидаемое исполнение на 01.01.2017</t>
  </si>
  <si>
    <t>Государственная программа Ханты-Мансийского автономного округа – Югры «Доступная среда в Ханты-Мансийском автономном округе – Югре на 2016-2020 годы» (Пелевин А.Р.)</t>
  </si>
  <si>
    <t>Государственная программа Ханты-Мансийского автономного округа – Югры «Развитие лесного хозяйства и лесопромышленного комплекса Ханты-Мансийского автономного округа – Югры на 2016-2020 годы»</t>
  </si>
  <si>
    <t xml:space="preserve">Государственная программа Ханты-Мансийского автономного округа – Югры «Социально-экономическое развитие, коренных малочисленных народов Севера Ханты-Мансийского автономного округа – Югры на 2016-2020 годы» </t>
  </si>
  <si>
    <t>Государственная программа Ханты-Мансийского автономного округа – Югры «Защита населения и территорий от чрезвычайных ситуаций, обеспечение пожарной безопасности в Ханты-Мансийском автономном округе – Югре на 2016-2020 годы» (Лапин О.М.)</t>
  </si>
  <si>
    <t>Государственная программа Ханты-Мансийского автономного округа – Югры «Обеспечение экологической безопасности Ханты-Мансийского автономного округа – Югры на 2016-2020 годы"
 (Анохин А.С.)</t>
  </si>
  <si>
    <t xml:space="preserve">Государственная программа Ханты-Мансийского автономного округа – Югры «Информационное общество Ханты-Мансийского автономного округа – Югры на 2016-2020 годы» </t>
  </si>
  <si>
    <t xml:space="preserve">Государственная программа Ханты-Мансийского автономного округа – Югры «Управление государственными финансами в Ханты-Мансийском автономном округе – Югре на 2016-2020 годы» </t>
  </si>
  <si>
    <t>Государственная программа Ханты-Мансийского автономного округа – Югры «Развитие гражданского общества Ханты-Мансийского автономного округа – Югры на 2016-2020 годы» (Алешкова Н.П.)</t>
  </si>
  <si>
    <t>Государственная программа Ханты-Мансийского автономного округа – Югры «Управление государственным имуществом Ханты-Мансийского автономного округа – Югры на 2016-2020 годы» (Пешков С.М.)</t>
  </si>
  <si>
    <t xml:space="preserve">Государственная программа Ханты-Мансийского автономного округа – Югры «Развитие и использование минерально-сырьевой базы Ханты-Мансийского автономного округа – Югры на 2016-2020 годы»  </t>
  </si>
  <si>
    <t xml:space="preserve">Государственная программа Ханты-Мансийского автономного округа – Югры «Оказание содействия добровольному переселению в Ханты-Мансийский автономный округ – Югру соотечественников, проживающих за рубежом, на 2016–2015 годы» </t>
  </si>
  <si>
    <t xml:space="preserve">Государственная программа Ханты-Мансийского автономного округа – Югры «Развитие государственной гражданской службы, муниципальной службы и резерва управленческих кадров в Ханты-Мансийском автономном округе – Югре в 2016-2020 годах» </t>
  </si>
  <si>
    <t>23.</t>
  </si>
  <si>
    <t>Ожидаемый остаток средств на 1 января года, следующего за отчетным</t>
  </si>
  <si>
    <t>Реализация мероприятий не запланирована</t>
  </si>
  <si>
    <t>бюджет ХМАО - Югры</t>
  </si>
  <si>
    <t>Приобретение жилья (ДАиГ)</t>
  </si>
  <si>
    <t>бюджет МО</t>
  </si>
  <si>
    <t>Ликвидация и расселение приспособленных для проживания строений (балочных массивов) (ДАиГ)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</si>
  <si>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</si>
  <si>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Улица Маяковского на участке от ул. 30 лет Победы до ул. Университетской в г. Сургуте (ДАиГ)</t>
  </si>
  <si>
    <t>Создание наемных домов социального использования (ДАиГ)</t>
  </si>
  <si>
    <t>Улучшение жилищных условий молодых семей в соответствии с федеральной целевой программой "Жилище" (УУиРЖ)</t>
  </si>
  <si>
    <t>Осуществление полномочий, указанных в пунктах 3.1., 3.2. статьи 2 Закона Ханты-Мансийского автономного округа — Югры от 31 марта 2009 года № 36-оз «О наделении органов местного самоуправления муниципальных образований Ханты-Мансийского автономного округа — Югры отдельными государственными полномочиями для обеспечения жилыми помещениями отдельных категорий граждан, определённых федеральным законодательством"(ХЭУ)</t>
  </si>
  <si>
    <t>Улучшение жилищных условий ветеранов боевых действий, инвалидов и семей, имеющих детей-инвалидов, вставших на учет в качестве нуждающихся в жилых помещениях до 1 января 2005 года (УУиРЖ)</t>
  </si>
  <si>
    <t>Улучшение жилищных условий ветеранов Великой Отечественной войны (ДАиГ)</t>
  </si>
  <si>
    <t>11.1.</t>
  </si>
  <si>
    <t>11.1.1.</t>
  </si>
  <si>
    <t>11.1.2.</t>
  </si>
  <si>
    <t>11.1.3.</t>
  </si>
  <si>
    <t>11.1.3.1.</t>
  </si>
  <si>
    <t>11.1.4.</t>
  </si>
  <si>
    <t>11.2.</t>
  </si>
  <si>
    <t>11.2.1.</t>
  </si>
  <si>
    <t>11.2.2.</t>
  </si>
  <si>
    <t>11.2.3.</t>
  </si>
  <si>
    <t>11.2.4.</t>
  </si>
  <si>
    <t>11.2.5.</t>
  </si>
  <si>
    <t>Подпрограмма III "Содействие развитию жилищного строительства"</t>
  </si>
  <si>
    <t>Подпрограмма  V "Обеспечение мерами государственной поддержки по улучшению жилищных условий отдельных категорий граждан"</t>
  </si>
  <si>
    <r>
      <t xml:space="preserve">Финансовые затраты на реализацию программы в </t>
    </r>
    <r>
      <rPr>
        <u/>
        <sz val="18"/>
        <color theme="1"/>
        <rFont val="Times New Roman"/>
        <family val="2"/>
        <charset val="204"/>
      </rPr>
      <t>2016</t>
    </r>
    <r>
      <rPr>
        <sz val="18"/>
        <color theme="1"/>
        <rFont val="Times New Roman"/>
        <family val="2"/>
        <charset val="204"/>
      </rPr>
      <t xml:space="preserve"> году  </t>
    </r>
  </si>
  <si>
    <t>Пояснения, ожидаемые результаты, планируемые сроки выполнения работ, оказания услуг, причины неисполнения и так далее</t>
  </si>
  <si>
    <t xml:space="preserve">                                                                                                                                                                             </t>
  </si>
  <si>
    <t xml:space="preserve">бюджет ХМАО - Югры </t>
  </si>
  <si>
    <t xml:space="preserve">бюджет ХМАО-Югры </t>
  </si>
  <si>
    <t xml:space="preserve">федеральный бюджет </t>
  </si>
  <si>
    <r>
      <t>Государственная программа Ханты-Мансийского автономного округа – Югры «Развитие агропромышленного комплекса и рынков сельскохозяйственной продукции, сырья и продовольствия в Ханты-Мансийском автономном округе – Югре в 2016-2020 годах»</t>
    </r>
    <r>
      <rPr>
        <sz val="20"/>
        <color theme="1"/>
        <rFont val="Times New Roman"/>
        <family val="1"/>
        <charset val="204"/>
      </rPr>
      <t xml:space="preserve"> 
(1. Субвенции на поддержку малых форм хозяйствования; 
 2. Субвенции на повышение эффективности использования и развитие ресурсного потенциала рыбохозяйственного комплекса;
 3. субвенции по поддержку животноводства, переработку и реализацию продукции животноводства;
 4. 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животных; 
 5. Субвенции на проведение Всероссийской сельскохозяйственной переписи в 2016 году).</t>
    </r>
  </si>
  <si>
    <r>
      <t xml:space="preserve">Государственная программа Ханты-Мансийского автономного округа – Югры «Развитие жилищно-коммунального комплекса и повышение энергетической эффективности в Ханты-Мансийском автономном округе – Югре на 2016-2020 годы» 
</t>
    </r>
    <r>
      <rPr>
        <sz val="20"/>
        <color theme="1"/>
        <rFont val="Times New Roman"/>
        <family val="1"/>
        <charset val="204"/>
      </rPr>
      <t>(1.Субвенции на возмещение недополученных доходов организациям, осуществляющим реализацию  сжиженного газа  населению по социально-ориентированным розничным ценам; 
 2. Субсидии на реконструкцию, расширение, модернизацию, строительство и капитальный ремонт объектов коммунального комплекса;
 3.Субсидия на возмещение части затрат на уплату процентов по привлекаемым заемным средствам на оплату задолженности за энергоресурсы; о привлекаемым заемным средствам на реконструкцию, расширение, модернизацию, строительство, капитальный ремонт объектов коммунального комплекса;
4.Субсидии на обеспечение мероприятий по переселению граждан из аварийного жилищного фонда).</t>
    </r>
  </si>
  <si>
    <r>
      <t xml:space="preserve">Государственная программа "Развитие здравоохранения  на 2016-2020 годы" 
</t>
    </r>
    <r>
      <rPr>
        <sz val="20"/>
        <color theme="1"/>
        <rFont val="Times New Roman"/>
        <family val="1"/>
        <charset val="204"/>
      </rPr>
      <t>(Субсидия на строительство и реконструкцию объектов здравоохранения)</t>
    </r>
  </si>
  <si>
    <r>
      <t xml:space="preserve">Государственная программа Ханты-Мансийского автономного округа – Югры «Социальная поддержка жителей Ханты-Мансийского автономного округа – Югры на 2016-2020 годы» 
</t>
    </r>
    <r>
      <rPr>
        <sz val="20"/>
        <color theme="1"/>
        <rFont val="Times New Roman"/>
        <family val="1"/>
        <charset val="204"/>
      </rPr>
      <t>(1. 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родителям; 
2. Субвенции на осуществление полномочий по образованию и организации деятельности комиссий по делам несовершеннолетних и защите их прав; 
3. 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помещений;
 4. Субвенции на осуществление деятельности по опеке и попечительству;  5. Субвенции на организацию отдыха и оздоровления детей;
  6. Субвенции на обеспечение дополнительных гарантий прав на жилое помещение детей-сирот и детей, оставшихся без попечения родител
ей, лиц из числа детей-сирот и детей, оставшихся без попечения родителей; 7. Субсидии на оплату стоимости питания детей школьного возраста в оздоровительных лагерях с дневным пребыванием детей).</t>
    </r>
  </si>
  <si>
    <r>
      <t>Государственная программа "Развитие культуры и туризма в Ханты-Мансийском автономном округе - Югре на 2016-2020 годы"</t>
    </r>
    <r>
      <rPr>
        <sz val="20"/>
        <color theme="1"/>
        <rFont val="Times New Roman"/>
        <family val="1"/>
        <charset val="204"/>
      </rPr>
      <t xml:space="preserve"> 
(1. Субвенции на осуществление полномочий по хранению, комплектованию, учету и использованию архивных документов; 
 2. Субсидия на модернизацию общедоступных муниципальных библиотек;   3. Субсидии на обновление материально-технической базы муниципальных детских школ искусств (по видам искусств) в сфере культуры; 
 4. Субсидии на строительство объектов, предназначенных для размещения муниципальных учреждений культуры; 
 5. Иные межбюджетные трансферты  на реализацию мероприятий по стимулированию культурного разнообразия в автономном округе; 
 6.  Иные межбюджетные трансферты  на комплектование книжных фондов библиотек.)</t>
    </r>
  </si>
  <si>
    <r>
      <t xml:space="preserve">Государственная программа Ханты-Мансийского автономного округа – Югры «Содействие занятости населения в Ханты-Мансийском автономном округе – Югре на 2016-2020 годы» 
</t>
    </r>
    <r>
      <rPr>
        <sz val="20"/>
        <color theme="1"/>
        <rFont val="Times New Roman"/>
        <family val="1"/>
        <charset val="204"/>
      </rPr>
      <t>(1.Субвенции на осуществление отдельных государственных полномочий в сфере трудовых отношений и государственного управления охраной труда; 2. Иные межбюджетные трансферты на реализацию  мероприятий по содействию трудоустройству граждан).</t>
    </r>
  </si>
  <si>
    <r>
      <t xml:space="preserve">Государственная программа "Развитие транспортной системы Ханты-Мансийского автономного округа — Югры на 2016-2020 годы 
</t>
    </r>
    <r>
      <rPr>
        <sz val="20"/>
        <color theme="1"/>
        <rFont val="Times New Roman"/>
        <family val="1"/>
        <charset val="204"/>
      </rPr>
      <t>(Субсидии на строительство (реконструкцию), капитальный ремонт и ремонт автомобильных дорог общего пользования местного значения)</t>
    </r>
  </si>
  <si>
    <r>
      <t>Государственная программа Ханты-Мансийского автономного округа – Югры «Создание условий для эффективного и ответственного управления муниципальными финансами, повышение устойчивости местных бюджетов Ханты-Мансийского автономного округа – Югры на 2016-2020 годы»</t>
    </r>
    <r>
      <rPr>
        <sz val="20"/>
        <color theme="1"/>
        <rFont val="Times New Roman"/>
        <family val="1"/>
        <charset val="204"/>
      </rPr>
      <t xml:space="preserve"> 
(1. 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Федерации;
 2. Субсидии на развитие общественной инфраструктуры и реализацию приоритетных направлений развития).</t>
    </r>
  </si>
  <si>
    <t>Отсутствует потребность в данных средствах по причине отсутствия лиц, уволенных с военной службы, нуждающихся в улучшении жилищных условий.</t>
  </si>
  <si>
    <t>Заключены договоры на приобретение конвертов и бумаги для направления участникам программы извещений. Бюджетные ассигнования использованы.</t>
  </si>
  <si>
    <r>
      <t xml:space="preserve">Государственная программа Ханты-Мансийского автономного округа – Югры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обеспечение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2016-2020 годах» 
</t>
    </r>
    <r>
      <rPr>
        <sz val="20"/>
        <rFont val="Times New Roman"/>
        <family val="1"/>
        <charset val="204"/>
      </rPr>
      <t>1. Субвенции  на государственную регистрацию актов гражданского состояния;
2. Субвенции на осуществление полномочий по созданию и обеспечению деятельности административных комиссий;
3. Субсидии на создание условий для деятельности народных дружин;
4. Субсидии на размещение систем видеообзора, модернизацию, обеспечение функционирования систем видеонаблюдения;
5. Иные межбюджетные трансферты  на реализацию мероприятий по поддержке российского казачества;
6.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Федерации).</t>
    </r>
  </si>
  <si>
    <r>
      <t xml:space="preserve">Государственная программа Ханты-Мансийского автономного округа – Югры «Развитие образования в Ханты-Мансийском автономном округе – Югре на 2016-2020 годы»
</t>
    </r>
    <r>
      <rPr>
        <sz val="20"/>
        <color theme="1"/>
        <rFont val="Times New Roman"/>
        <family val="1"/>
        <charset val="204"/>
      </rPr>
      <t>(1. Субвенции на реализацию основных общеобразовательных программ; 
 2. Субвенции на реализацию дошкольными образовательными организациями основных общеобразовательных программ дошкольного образования; 
 3. Субвенции  на  социальную  поддержку отдельных категорий обучающихся  в муниципальных  и частных общеобразовательных организациях;
 4. Субвенции на выплату компенсации части родительской платы за присмотр и уход за детьми в образовательных организациях дошкольного образования; 
 5. Субвенции на информационное обеспечение общеобразовательных организаций в части доступа к образовательным ресурсам сети "Интернет";   6. Субсидии на дополнительное финансовое обеспечение мероприятий по организации питания обучающихся; 
 7. Субсидии на создание условий для осуществления присмотра и ухода за детьми, содержания детей в частных  организациях дошкольного образования; 
 8. Иные межбюджетные трансферты на организацию и проведение ЕГЭ и на реализацию проекта, признанного  победителем конкурсного отбора образовательных организаций, имеющих статус региональных инновационных площадок).</t>
    </r>
  </si>
  <si>
    <r>
      <t xml:space="preserve">Государственная программа Ханты-Мансийского автономного округа – Югры «Социально-экономическое развитие, инвестиции и инновации Ханты-Мансийского автономного округа – Югры на 2016-2020 годы» 
</t>
    </r>
    <r>
      <rPr>
        <sz val="20"/>
        <color theme="1"/>
        <rFont val="Times New Roman"/>
        <family val="1"/>
        <charset val="204"/>
      </rPr>
      <t>1. Субсидии на государственную поддержку малого и среднего предпринимательства; 
2. Субсидии на предоставление государственных услуг в многофункциональных центрах предоставления государственных и муниципальных услуг; 
3. Субсидии на развитие многофункциональных центров предоставления государственных и муниципальных услуг).</t>
    </r>
  </si>
  <si>
    <r>
      <t>Государственная программа "Развитие физической культуры и спорта в Ханты-Мансийском автономном округе — Югре на 2016 — 2020 годы"
 (</t>
    </r>
    <r>
      <rPr>
        <sz val="20"/>
        <color theme="1"/>
        <rFont val="Times New Roman"/>
        <family val="1"/>
        <charset val="204"/>
      </rPr>
      <t>1. Субсидии на развитие материально-технической базы муниципальных учреждений спорта; 
 2. иные межбюджетные трансферты на реализацию мероприятий по проведению смотров-конкурсов в сфере физической культуры и спорта)</t>
    </r>
  </si>
  <si>
    <t>Государственная программа "Обеспечение доступным и комфортным жильем жителей Ханты-Мансийского автономного округа - Югры в 2016-2020 годах"</t>
  </si>
  <si>
    <t>Информация о реализации государственных программ Ханты-Мансийского автономного округа - Югры
на территории городского округа город Сургут на 01.12.2016 года</t>
  </si>
  <si>
    <t>на 01.12.2016</t>
  </si>
  <si>
    <t xml:space="preserve">Работы выполнялись согласно муниципальному контракту на выполнение работ по строительству объекта с ООО "Строительная компания  СОК" №03/2015 от 19.05.2015.                                                        
Контракт расторгнут на основании соглашения о расторжении от 17.11.2016 года в связи с тем, что в ходе его реализации возникла необходимость выполнения комплекса дополнительных работ, не предусмотренных контрактом, проектно-сметной документацией, но необходимых для сдачи объекта в эксплуатацию. Характер дополнительных работ таков, что они неразрывно связаны с основным комплексом работ  и без их выполнения невозможно производство последующих работ. Кроме того, был выявлен ряд несоответствий графической и сметной частей рабочего проекта, так же влекущий за собой удорожание строительства.  Готовность объекта на момент расторжения 50,4 %. 
В Департамент строительства ХМАО-Югры направлено письмо от 11.11.2016 №02-02-8010/16 об уменьшении субсидии в 2016 году и о рассмотрении возможности выделения средств на 2017 год с целью ввода объекта в эксплуатацию. </t>
  </si>
  <si>
    <t>11.1.5.</t>
  </si>
  <si>
    <t>Приобретение встроенно-пристроенных помещений (ДАиГ)</t>
  </si>
  <si>
    <t>Закупка у единственного поставщика по выкупу встроенно-пристроенных помещений будет произведена в декабре 2016 года</t>
  </si>
  <si>
    <t>Обеспечение жильем граждан, уволенных с военной службы и приравненных к ним лиц (УУиРЖ)</t>
  </si>
  <si>
    <t xml:space="preserve">По состоянию на 01.12.2016 участниками данной подпрограммы числятся 55 молодых семей.  30 мая 2016 года между Департаментом строительства ХМАО-Югры и Администрацией города Сургута заключено соглашение о финансировании подпрограммы в 2016 году.  Средства федерального и окружного бюджетов  поступили в полном объеме. В текущем году планируется предоставить социальную выплату на приобретение (строительство) жилья 9 молодым семьям, в том числе 8 молодым семьям по соглашению 2016 года и 1 молодой семье в рамках переходящих обязательств 2015 года. Перечисление средств будет осуществлено после поступления заявки из банка на перечисление субсидии. По состоянию на 01.12.2016 социальная выплата согласно заявок банка предоставлена (перечислена) 7 молодым семьям, в том числе участнику 2015 года и 6 участникам 2016 года. До конца года планируется освоить средства федерального и окружного бюджетов в полном объеме.   
</t>
  </si>
  <si>
    <t xml:space="preserve">В списке граждан, имеющих право на получение субсидии за счет средств федерального бюджета по городу Сургуту на 01.01.2016 состоит 512 человек. Планируется в 2016 году предоставить субсидию 13 льготополучателям, из расчета размера субсидии 759 672 рубля.  Средства федерального бюджета до конца года планируется использовать в полном объёме. Субсидии выплачиваются по мере подготовки управлением учета и распределения жилья Постановлений о предоставлении субсидии на приобретение жилого помещения. По состоянию на 01.12.16 субсидия предоставлена 9 льготополучателям.  </t>
  </si>
  <si>
    <r>
      <rPr>
        <u/>
        <sz val="20"/>
        <rFont val="Times New Roman"/>
        <family val="1"/>
        <charset val="204"/>
      </rPr>
      <t>АГ:</t>
    </r>
    <r>
      <rPr>
        <sz val="20"/>
        <rFont val="Times New Roman"/>
        <family val="1"/>
        <charset val="204"/>
      </rPr>
      <t xml:space="preserve"> Заключено соглашение от 11.02.2016  № АС-4с о софинансировании и реализации мероприятий государственной программы между Департаментом внутренней политики ХМАО-Югры и Администрацией города. 
     Заключены договоры на приобретение форменной одежды и удостоверений, выплачено материальное стимулирование народным дружинникам по итогам 1 полугодия 2016 года. Бюджетные ассигнования будут использованы в полном объеме до конца 2016 года.               
     В рамках мероприятия "Обеспечение функционирования и развития систем видеонаблюдения с целью повышения безопасности дорожного движения, информирования населения" заключены контракты на техническое обслуживание АПК "Безопасный город", копировально-множительной техники и конвертального оборудования АПК "Безопасный город" и услуги по приему, обработке и доставке заказных писем с уведомлением.  
      Реализация мероприятия осуществляется в плановом режиме согласно заключенным контрактам и договорам . Бюджетные ассигнования будут использованы в полном объеме до конца 2016 года.  
      За счет субвенции из федерального бюджета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 запланированы расходы на услуги почтовой связи и поставку конвертов.
Данные средства освоены в полном объеме.                 </t>
    </r>
    <r>
      <rPr>
        <sz val="20"/>
        <color rgb="FFFF0000"/>
        <rFont val="Times New Roman"/>
        <family val="1"/>
        <charset val="204"/>
      </rPr>
      <t xml:space="preserve">
</t>
    </r>
    <r>
      <rPr>
        <u/>
        <sz val="20"/>
        <color theme="1"/>
        <rFont val="Times New Roman"/>
        <family val="1"/>
        <charset val="204"/>
      </rPr>
      <t>ДГХ</t>
    </r>
    <r>
      <rPr>
        <sz val="20"/>
        <color theme="1"/>
        <rFont val="Times New Roman"/>
        <family val="1"/>
        <charset val="204"/>
      </rPr>
      <t>: Реализация мероприятия в рамках программы по содержанию объектов социальной сферы (ЗАГС) осуществляется в соответствии с условиями заключённых договоров.</t>
    </r>
    <r>
      <rPr>
        <sz val="20"/>
        <color rgb="FFFF0000"/>
        <rFont val="Times New Roman"/>
        <family val="1"/>
        <charset val="204"/>
      </rPr>
      <t xml:space="preserve">
</t>
    </r>
    <r>
      <rPr>
        <u/>
        <sz val="20"/>
        <rFont val="Times New Roman"/>
        <family val="1"/>
        <charset val="204"/>
      </rPr>
      <t>ДО:</t>
    </r>
    <r>
      <rPr>
        <sz val="20"/>
        <rFont val="Times New Roman"/>
        <family val="1"/>
        <charset val="204"/>
      </rPr>
      <t xml:space="preserve">
Средства 1 100 тыс. руб., поступившие в соответствии со справкой Департамента финансов ХМАО-Югры  от 20.05.2016  на развитие казачьих кадетских классов с казачьим компонентом на базе мунциипальных общеобразовательных организаций в ХМАО-Югре  исполнены в полном объеме.    </t>
    </r>
  </si>
  <si>
    <r>
      <rPr>
        <u/>
        <sz val="19"/>
        <color theme="1"/>
        <rFont val="Times New Roman"/>
        <family val="1"/>
        <charset val="204"/>
      </rPr>
      <t xml:space="preserve">ДГХ: </t>
    </r>
    <r>
      <rPr>
        <sz val="19"/>
        <color theme="1"/>
        <rFont val="Times New Roman"/>
        <family val="1"/>
        <charset val="204"/>
      </rPr>
      <t xml:space="preserve">Реализация мероприятия по организации питания обучающихся (оплата коммунальных услуг школьных столовых) осуществляется в соответствии с условиями заключённого контракта. Капитальный ремонт СОШ № 19 выполнен. Экономия в результате фактического исполнения расходов по капитальномуремонту составила 444,59 тыс. руб., будут возвращены в бюджет.
</t>
    </r>
    <r>
      <rPr>
        <u/>
        <sz val="19"/>
        <color theme="1"/>
        <rFont val="Times New Roman"/>
        <family val="1"/>
        <charset val="204"/>
      </rPr>
      <t>Департамент образования</t>
    </r>
    <r>
      <rPr>
        <sz val="19"/>
        <color theme="1"/>
        <rFont val="Times New Roman"/>
        <family val="1"/>
        <charset val="204"/>
      </rPr>
      <t xml:space="preserve">:
Реализация программы осуществляется в плановом режиме, освоение средств планируется до конца 2016 года.
</t>
    </r>
    <r>
      <rPr>
        <u/>
        <sz val="19"/>
        <color theme="1"/>
        <rFont val="Times New Roman"/>
        <family val="1"/>
        <charset val="204"/>
      </rPr>
      <t>ДАиГ:</t>
    </r>
    <r>
      <rPr>
        <sz val="19"/>
        <color theme="1"/>
        <rFont val="Times New Roman"/>
        <family val="1"/>
        <charset val="204"/>
      </rPr>
      <t xml:space="preserve"> 
В рамках программы предусмотрены средства за счет местного бюджета приобретение объекта общего образования "Билдинг-сад на 40 мест, ул.Каролинского, 10".  Оформлена заявка на выделение субсидий окружного бюджета. Ориентировочный срок заключения муниципального контракта - 22.12.2016г. В настоящее время объект комплектуется технологическим оборудованием.                                                                                                  
</t>
    </r>
    <r>
      <rPr>
        <u/>
        <sz val="19"/>
        <color theme="1"/>
        <rFont val="Times New Roman"/>
        <family val="1"/>
        <charset val="204"/>
      </rPr>
      <t>УУиБО (ДК)</t>
    </r>
    <r>
      <rPr>
        <sz val="19"/>
        <color theme="1"/>
        <rFont val="Times New Roman"/>
        <family val="1"/>
        <charset val="204"/>
      </rPr>
      <t xml:space="preserve"> 
Реализация программы осуществляется в плановом режиме, освоение средств планируется до конца 2016 года.</t>
    </r>
  </si>
  <si>
    <r>
      <rPr>
        <u/>
        <sz val="20"/>
        <rFont val="Times New Roman"/>
        <family val="1"/>
        <charset val="204"/>
      </rPr>
      <t>ДАиГ</t>
    </r>
    <r>
      <rPr>
        <sz val="20"/>
        <rFont val="Times New Roman"/>
        <family val="1"/>
        <charset val="204"/>
      </rPr>
      <t xml:space="preserve">
По объекту "Спортивный комплекс с плавательным бассейном 50 м в г. Сургуте" В соответствии с заключенным муниципальным контрактом  от 14.06.2016 г. срок выполнения работ- 09.12.2016 года.  В настоящее время готовность объекта - 55,3%. 
     Ожидаемое неисполнение  составит 43 646,92 тыс. руб. в связи с отставанием от графика производства работ по причине нарушения Подрядной организацией обязательств по контракту  в части  срока поставки технологического монтируемого оборудования и материалов, необходимых для строительства объекта.  Ориентировочный срок ввода объекта апрель 2017 года.  В проекте бюджета на 2017 год предусмотрены средства для завершения работ по строительству объекта в сумме 193 087,05 тыс.руб (в т.ч. средства окружного бюджета - 183 432,7 тыс.руб, средства местного бюджета 9 654,35 тыс.руб.) 
УБУиО (ДК): Реализация программы  осуществляется в плановом режиме.  Бюджетные ассигнования будут использованы в полном объеме до конца 2016 года.</t>
    </r>
  </si>
  <si>
    <r>
      <rPr>
        <u/>
        <sz val="20"/>
        <rFont val="Times New Roman"/>
        <family val="1"/>
        <charset val="204"/>
      </rPr>
      <t>ДО, УБУиО(ДК)</t>
    </r>
    <r>
      <rPr>
        <sz val="20"/>
        <rFont val="Times New Roman"/>
        <family val="2"/>
        <charset val="204"/>
      </rPr>
      <t xml:space="preserve">:Реализация мероприятий осуществляется в плановом режиме согласно заключенным контрактам и договорам. Бюджетные ассигнования будут использованы в полном объеме до конца 2016 года.                                                                                                                                                                             
</t>
    </r>
    <r>
      <rPr>
        <u/>
        <sz val="20"/>
        <rFont val="Times New Roman"/>
        <family val="1"/>
        <charset val="204"/>
      </rPr>
      <t>УПиЭ:</t>
    </r>
    <r>
      <rPr>
        <sz val="20"/>
        <rFont val="Times New Roman"/>
        <family val="2"/>
        <charset val="204"/>
      </rPr>
      <t xml:space="preserve"> Для выполнение мероприятия с КУ ХМАО-Югры "Сургутский центр занятости населения" заключен договор от 14.06.2016 № 171/01 о совместной деятельности по организации временного трудоустройства граждан в количестве 2 человек по профессии рабочий зелёного хозяйства с периодом участия - 2 месяца. 15,27 тыс.руб. - денежные средства не будут освоены , т.к. направляемые безработные граждане для трудоустройства в учреждение не обращались. Договор расторгнут 16.08.2016. </t>
    </r>
  </si>
  <si>
    <t xml:space="preserve">В рамках данной программы осуществляется строительство объекта " Поликлиника Нефтяник на 700 пос. в смену в мкр.37 г. Сургута". Объект введен в эксплуатацию (разрешение на ввод № 86-ru86310000-68-2016 от 16.09.2016 г.).  В 2016 году произведена оплата и поставка оборудования по контрактам, заключенным в 2015 году, на сумму 79 798,06 тыс.руб.                                                                                                                    По заключенным в 2016 году контрактам оборудование поставлено и оплачено полностью ( на сумму 74496,32 тыс.руб.).                                                                                                                             27.10.2016 г.  заключен контракт с ИП Павлюк И.В., на сумму 2 371,35 тыс. руб. на поставку металлической мебели. Срок поставки оборудования 26.11.2016г.                                                                                                                                                   Закупка медицинского оборудования на сумму 1 059,04 тыс. руб. не состоялась в соответствии с ч.16 ст. 66 № 44-ФЗ, так как по окончании срока подачи заявок на участие в электронном аукционе не подано ни одной заявки. 22.11.2016 г. заключены 2 муниципальных контракта в соответствии с  п. 32 ст.93 № 44-ФЗ на сумму 190,00 тыс.руб. на поставку медицинского оборудования. Срок поставки - по 06.12.2016 г. Заключен договор (до 100т.р.) от 04.10.2016 г. №51/2016  на поставку кресел с табуретом для галокамеры на сумму 98,22 тыс. руб.  Оборудование принято в ноябре, будет оплачено в декабре 2016г. 
За счет средств местного бюджета произведена оплата задолженности за дополнительные работы по решению суда (дело № А 75-199/2016 от 24.02.2016 г.) в размере 44 558,54 тыс.руб. 
По состоянию на 01.12.2016 г. сложилась экономия по итогам проведения аукционов на поставку оборудования в сумме - 5 084,75 тыс. руб. Направлено письмо от 16.11.2016г №01-11-9293/16 в Департамент здравоохранения ХМАО-Югры о уменьшении субсидии 2016 года на сумму экономии.
</t>
  </si>
  <si>
    <r>
      <rPr>
        <u/>
        <sz val="20"/>
        <rFont val="Times New Roman"/>
        <family val="2"/>
        <charset val="204"/>
      </rPr>
      <t>УБУиО, ДГХ</t>
    </r>
    <r>
      <rPr>
        <sz val="20"/>
        <rFont val="Times New Roman"/>
        <family val="2"/>
        <charset val="204"/>
      </rPr>
      <t xml:space="preserve"> По состоянию на 01.12.2016 произведена:
-выплата вознаграждения 196 приемным родителям (количество получателей ежемесячно уточняется) за январь-октябрь 2016 года, выплата производится планомерно в течение всего финансового года; 
-оплата работ по проверке смет и ремонту двух жилых помещений для детей сирот и детей, оставшихся без попечения родителей по адресам: пр.Комсомольский, 44/2 кв.59, ул.Университетская д.25/1 кв.3. 
      Расходы на осуществление ремонта жилых помещений  детей-сирот и детей, оставшихся без попечения родителей, предоставление денежных средств на оплату жилого помещения и коммунальных услуг детям-сиротам и детям, оставшимся без попечения родителей носят заявительный характер, производятся по мере поступления заявлений.
     Планомерно в течение отчетного года производятся расходы  в рамках переданных государственных полномочий по образованию и организации деятельности комиссий по делам несовершеннолетних и защите их прав (10 штатных единиц) и на осуществление деятельности по опеке и попечительству (45 штатных единиц).
     </t>
    </r>
    <r>
      <rPr>
        <u/>
        <sz val="20"/>
        <rFont val="Times New Roman"/>
        <family val="1"/>
        <charset val="204"/>
      </rPr>
      <t>ДАиГ:</t>
    </r>
    <r>
      <rPr>
        <sz val="20"/>
        <rFont val="Times New Roman"/>
        <family val="1"/>
        <charset val="204"/>
      </rPr>
      <t>Аукцион на приобретение квартир для детей сирот в апреле признан несостоявшимся по причине отсутствия заявок на участие. На июньском заседании Думы города по вопросу внесения изменений в бюджет города принято решение  о выделении дополнительных бюджетных ассигнований за счет средств местного бюджета в сумме 15 322,56 тыс.рублей для возможности приобретения жилых помещений.17.08.2016 состоялся повторный аукцион, по результатам которого заключен муниципальный контракт на приобретение 28 жилых помещений. Произведена предоплата в размере 30 %. Доведены дополнительные средства окружного бюджета в сумме 8 683,79 тыс.руб. На заседании Думы города в октябре утверждено выделение дополнительных средств местного бюджета в размере 2 736,71 тыс. руб. В декабре 2016 года будет размещена заявка на проведение аукционов по приобретению:  5 квартир (216,5м2, 11 394,18 тыс.руб.) и 4 квартир (132 м2, 6 947,03 тыс.руб.)</t>
    </r>
    <r>
      <rPr>
        <sz val="20"/>
        <color rgb="FFFF0000"/>
        <rFont val="Times New Roman"/>
        <family val="1"/>
        <charset val="204"/>
      </rPr>
      <t xml:space="preserve">
</t>
    </r>
    <r>
      <rPr>
        <u/>
        <sz val="20"/>
        <rFont val="Times New Roman"/>
        <family val="1"/>
        <charset val="204"/>
      </rPr>
      <t>ДО:</t>
    </r>
    <r>
      <rPr>
        <sz val="20"/>
        <rFont val="Times New Roman"/>
        <family val="1"/>
        <charset val="204"/>
      </rPr>
      <t>Реализация программы осуществляется в плановом режиме в соответствии с заключенным Соглашением.
Планируемая экономия в части субсидии частным организациям: 
-22,02 тыс. руб.  сложившаяся в связи с уменьшением количества дето-дней питания в лагерях, организованных на базе частных организациий (подлежит возврату в местный бюджет.) 
-1,65 тыс. руб. сложившаяся в связи с уменьшением количества дето-дней питания в лагерях, организованных на базе частных организациий (подлежит возврату в бюджет округа).</t>
    </r>
    <r>
      <rPr>
        <sz val="20"/>
        <color rgb="FFFF0000"/>
        <rFont val="Times New Roman"/>
        <family val="1"/>
        <charset val="204"/>
      </rPr>
      <t xml:space="preserve">
</t>
    </r>
    <r>
      <rPr>
        <sz val="20"/>
        <rFont val="Times New Roman"/>
        <family val="1"/>
        <charset val="204"/>
      </rPr>
      <t xml:space="preserve"> УБУиО (</t>
    </r>
    <r>
      <rPr>
        <u/>
        <sz val="20"/>
        <rFont val="Times New Roman"/>
        <family val="1"/>
        <charset val="204"/>
      </rPr>
      <t>ДК):</t>
    </r>
    <r>
      <rPr>
        <sz val="20"/>
        <rFont val="Times New Roman"/>
        <family val="1"/>
        <charset val="204"/>
      </rPr>
      <t>Реализация программы  осуществляется в плановом режиме.  Бюджетные ассигнования будут использованы в полном объеме до конца 2016 года.</t>
    </r>
  </si>
  <si>
    <r>
      <rPr>
        <u/>
        <sz val="20"/>
        <rFont val="Times New Roman"/>
        <family val="1"/>
        <charset val="204"/>
      </rPr>
      <t>АГ:</t>
    </r>
    <r>
      <rPr>
        <sz val="20"/>
        <rFont val="Times New Roman"/>
        <family val="2"/>
        <charset val="204"/>
      </rPr>
      <t xml:space="preserve">
В  соответствии с законом ХМАО–Югры от 15.05.2006 № 46-оз  в целях своевременного выполнения комплекса работ по организации проведения Всероссийской сельскохозяйственной переписи в городе Сургуте из средств федерального бюджета запланированы расходы на предоставление транспортных услуг и услуг связи. 
По состоянию на 01.12.2016 исполнены в полном объемы договоры на предоставление:
- транспортных услуг;
- услуг связи. Фактические затраты на данные услуги сложились ниже запланированных, в связи с чем образовалась экономия средств на сумму 260,64 тыс. руб.. Оплата произведена  по факту выполненных работ.                                                            
</t>
    </r>
    <r>
      <rPr>
        <u/>
        <sz val="20"/>
        <rFont val="Times New Roman"/>
        <family val="1"/>
        <charset val="204"/>
      </rPr>
      <t>ДГХ:</t>
    </r>
    <r>
      <rPr>
        <sz val="20"/>
        <rFont val="Times New Roman"/>
        <family val="2"/>
        <charset val="204"/>
      </rPr>
      <t xml:space="preserve"> 
Планируется отловить и утилизировать 2 000 безнадзорных животных. По состоянию на 01.12.2016 утилизировано 1 929 безнадзорное животное. Ожидаемое неисполнение 408,33 тыс.руб. - экономия по результатам фактического исполнения.
</t>
    </r>
    <r>
      <rPr>
        <u/>
        <sz val="20"/>
        <rFont val="Times New Roman"/>
        <family val="1"/>
        <charset val="204"/>
      </rPr>
      <t/>
    </r>
  </si>
  <si>
    <r>
      <t>1. Заключен</t>
    </r>
    <r>
      <rPr>
        <sz val="20"/>
        <rFont val="Times New Roman"/>
        <family val="1"/>
        <charset val="204"/>
      </rPr>
      <t xml:space="preserve"> договор от 25.03.2016 № 42 между ДЭР ХМАО-Югры и АГ о предоставлении субсидии из бюджета ХМАО - Югры  на реализацию  программы развития малого и среднего предпринимательства. По состоянию на 01.12.2016 в рамках исполнения контракта на оказание услуг по организации ярмарок </t>
    </r>
    <r>
      <rPr>
        <sz val="20"/>
        <color theme="1"/>
        <rFont val="Times New Roman"/>
        <family val="2"/>
        <charset val="204"/>
      </rPr>
      <t xml:space="preserve">на территории города Сургута с участием субъектов малого и среднего предпринимательства состоялись 3 ярмарки с участием местных товаропроизводителей. Оказана поддержка в форме предоставления субсидий 1 организации и 25 субъектам малого и среднего предпринимательства. Оказаны и оплачены услуги по проведению городского конкурса  "Предприниматель года".  Ведется работа по информированию субъектов малого и среднего предпринимательства о формах поддержки. 
      </t>
    </r>
    <r>
      <rPr>
        <sz val="20"/>
        <color theme="1"/>
        <rFont val="Times New Roman"/>
        <family val="1"/>
        <charset val="204"/>
      </rPr>
      <t>Ожидаемое неисполнение в размере 9,26 тыс.руб. обусловлено невостребованными средствами по предоставлению субсидии Сургутской торгово-промышленной палате для финансирования поддержки организаций, осуществляющих оказание субьектам поддержки по бизнес-инкубированию, проведению выставок, ярмарок, конференций и иных мероприятий, направленных на продвижение товаров, работ, услуг на региональные и международные рынки, подготовку, переподготовку и повышение квалификации кадров субьектов и организаций.</t>
    </r>
    <r>
      <rPr>
        <sz val="20"/>
        <color theme="1"/>
        <rFont val="Times New Roman"/>
        <family val="2"/>
        <charset val="204"/>
      </rPr>
      <t xml:space="preserve">
</t>
    </r>
    <r>
      <rPr>
        <sz val="20"/>
        <rFont val="Times New Roman"/>
        <family val="1"/>
        <charset val="204"/>
      </rPr>
      <t/>
    </r>
  </si>
  <si>
    <r>
      <rPr>
        <u/>
        <sz val="20"/>
        <color theme="1"/>
        <rFont val="Times New Roman"/>
        <family val="1"/>
        <charset val="204"/>
      </rPr>
      <t xml:space="preserve">АГ: </t>
    </r>
    <r>
      <rPr>
        <sz val="20"/>
        <color theme="1"/>
        <rFont val="Times New Roman"/>
        <family val="1"/>
        <charset val="204"/>
      </rPr>
      <t>Реализация мероприятия «Материально-техническое обеспечение деятельности по осуществлению отдельных государственных полномочий в области архивного дела» осуществляется в плановом режиме согласно заключенным контрактам и договорам . Бюджетные ассигнования будут использованы в полном объеме до конца 2016 года. 
УБУиО(</t>
    </r>
    <r>
      <rPr>
        <u/>
        <sz val="20"/>
        <color theme="1"/>
        <rFont val="Times New Roman"/>
        <family val="1"/>
        <charset val="204"/>
      </rPr>
      <t>ДК):</t>
    </r>
    <r>
      <rPr>
        <sz val="20"/>
        <color theme="1"/>
        <rFont val="Times New Roman"/>
        <family val="1"/>
        <charset val="204"/>
      </rPr>
      <t xml:space="preserve">Реализация подпрограмм "Обеспечение прав граждан на доступ к культурным ценностям и информации" и "Укрепление единого культурного пространства" осуществляется в плановом режиме согласно заключенным контрактам и договорам. Бюджетные ассигнования будут использованы в полном объеме до конца 2016 года.
</t>
    </r>
    <r>
      <rPr>
        <u/>
        <sz val="20"/>
        <color theme="1"/>
        <rFont val="Times New Roman"/>
        <family val="1"/>
        <charset val="204"/>
      </rPr>
      <t xml:space="preserve">ДАиГ: </t>
    </r>
    <r>
      <rPr>
        <sz val="20"/>
        <color theme="1"/>
        <rFont val="Times New Roman"/>
        <family val="1"/>
        <charset val="204"/>
      </rPr>
      <t xml:space="preserve">Работы по объекту "Детская школа искусств, мкр. ПИКС"  выполнялись в соответствии с заключенным муниципальным контрактом с ООО "Сибвитосервис" №18/2014 от 04.10.14 г.  Готовность объекта - 100 %. Объект введен в эксплуатацию 25.08.2016г.
    В ходе строительства объекта  возникла необходимость в выполнении  дополнительных работ, не предусмотренных ПСД, но обязательных для сдачи объекта.  Стоимость доп. работ - 21 900,27 тыс. руб.  Работы будут оплачены в декабре 2016 года на основании мирового соглашения от 22.11.2016.  
Ожидаемое неисполнение составит 2 014,53 тыс. руб. в связи с уменьшением суммы контракта на сумму страховых взносов в связи с внесением изменений в Методическую документацию строительства (МДС  № 81-35.2014)                       
  </t>
    </r>
  </si>
  <si>
    <t>Заключены муниципальные контракты на приобретение: 24 кв.- 2-х комнатных (84 737,95 руб., 1 611,1 м2); 42 кв. - 1 комнатных (95 111,13 руб, 1 807,8 м2). Акты приема-передачи жилых помещений подписаны, получены выписки из ЕГРП. Оплата произведена.  Заключены контракты по приобретению  15 – 2-х комнатных (52 892,15 тыс.руб, 1005м2), 26 – 1 комнатных квартир (59 112,89 тыс.руб, 1123,2 м2.) Произведена оплата в размере 30 %. Размещены заявки на проведение аукционов по приобретению 164 жилых помещений (9 259м2). Подведение итогов аукционов 15.12.2016г.</t>
  </si>
  <si>
    <t>2. Заключено соглашение от 09.10.2015 № 101  между ДЭР ХМАО-Югры и АГ о предоставлении субсидии из бюджета ХМАО - Югры на развитие многофункциональных центров предоставления государственных и муниципальных услуг  (действует до исполнения всех взятых обязательств). 
3. На 01.12.2016 года заключен и исполнен 21 договор (контракт) на приобретение программно-аппаратного комплекса "Универсальный криптошлюз и межсетевой экран", средств видеонаблюдения, серверного оборудования, поставку и внедрение системы управления электронной очередью для нужд МКУ "МФЦ г. Сургута", мебели для комплектации объекта "Многофункциональный центр предоставления государственных и муниципальных услуг города Сургута", на выполнение работ по ремонту нежилого помещения под нужды МФЦ г. Сургута, на поставку многофункционального устройства, поставку детекторов, на поставку технических средств, серверного оборудования, переферийного оборудования и копировально-множительной техники, поставку и внедрение программного обеспечения СУО "Энтер" в целях обеспечения работы дополнительных рабочих мест, услуги по доработке функционала Системы управления электронной очередью «Энтер».
     Контракт на  поставку  программного обеспечения, ввод в эксплуатацию и гарантийное обслуживание технических средств находится на стадии согласования с исполнением до конца 2016 года.
4. Заключено соглашение от 28.12.2015 № 151  о предоставлении субсидии из бюджета ХМАО - Югры на софинансирование расходных обязательств по предоставлению государственных услуг в многофункциональных центрах  предоставления государственных и муниципальных услуг между ДЭР ХМАО-Югры и муниципальным образованием.</t>
  </si>
  <si>
    <r>
      <rPr>
        <u/>
        <sz val="20"/>
        <color theme="1"/>
        <rFont val="Times New Roman"/>
        <family val="1"/>
        <charset val="204"/>
      </rPr>
      <t>ДГХ:</t>
    </r>
    <r>
      <rPr>
        <sz val="20"/>
        <color theme="1"/>
        <rFont val="Times New Roman"/>
        <family val="2"/>
        <charset val="204"/>
      </rPr>
      <t xml:space="preserve"> Ожидаемое неисполнение 34 321,5 тыс.руб., в том числе:
1)  по привлеченным средствам 14 603,81 тыс.руб.: экономия по факту выполненных работ, переноса сроков выполнения работ (поставка оборудования на 2017 год) по подпрограмме "Повышение энергоэффективности в отраслях экономики" (13 963,20 тыс.руб.); не выполнение благоустроительных работ в связи с климатическими условиями по капитальному ремонту объектов коммунального комплекса (640,61 тыс.руб.). 
2) средства местного бюджета 10 327,82 тыс.руб.: экономия в связи с уточнением объемов работ, адресного перечня по благоустройству домовых территории (7 234,55 тыс.руб. не планируются к освоению); по капитальному ремонту объектов коммунального комплекса (81,35 тыс.руб. не планируются к исполнению); 3 011,92 тыс.руб. - не выполнение работ в связи с невыполнением работ подрядчиком; поздней подачей документов на конкурс.
3) средства окружного бюджета 9 389,87 тыс.руб.:  экономия в связи с уточнением объемов работ, адресного перечня по благоустройству домовых территорий (7 844,34 тыс.руб. не планируются к освоению); по капитальному ремонту объектов коммунального комплекса (1 545,53 тыс.руб. не планируются к исполнению, письмо ДГХ от 31.10.2016 № 09-02-7441/16 в ДР ЖКК ХМАО-Югры). .
</t>
    </r>
    <r>
      <rPr>
        <u/>
        <sz val="20"/>
        <color theme="1"/>
        <rFont val="Times New Roman"/>
        <family val="1"/>
        <charset val="204"/>
      </rPr>
      <t>ДАиГ:</t>
    </r>
    <r>
      <rPr>
        <sz val="20"/>
        <color theme="1"/>
        <rFont val="Times New Roman"/>
        <family val="2"/>
        <charset val="204"/>
      </rPr>
      <t xml:space="preserve">
Произведена оплата по контрактам, заключенным в 2015 году, за счет средств фонда реформирования ЖКХ, на приобретение жилых помещений, в целях выполнения мероприятий по переселению граждан из аварийного жилищного фонда </t>
    </r>
  </si>
  <si>
    <t xml:space="preserve">Для формирования фонда социального использования 25.12.2015  было объявлено два  электронных аукциона на приобретение жилых помещений в многоквартирном жилом доме, общей площадью 15 046,40 кв.м. и 7 460,80 кв.м.
 По итогам электронных аукционов 11.02.2016 заключены контракты с ООО "УК"Центр Менеджмент" №1/2016 на сумму 392 654, 44 тыс.р., и контракт №2/2016 на сумму 791 876, 99 тыс.р., сроком действия до 30.03.2017г. По условиям контрактов произведен авансовый платеж в размере 78% стоимости контрактов.   Дополнительная потребность составляет 260 млн. рублей, в том числе средства окружного бюджета 235 млн. рублей. Обращение в ДФ ХМАО направлено.                             </t>
  </si>
  <si>
    <t xml:space="preserve">Средства предусмотрены на выплату субсидии и приобретение жилого помещения для участников программы. Субсидии выплачиваются по мере подготовки Управлением учета и распределения жилья Постановлений о предоставлении субсидии на приобретение жилого помещения.   
    2 ветеранам ВОВ предоставлена единовременная денежная выплата на приобретение жилого помещения самостоятельно, 1 ветерану ВОВ приобретено и предоставлено жилое помещение на условиях договора социального найма. 
Экономия средств в размере 156,15 тыс. руб. будет возвращена в бюджет автономного округа. </t>
  </si>
  <si>
    <t>В рамках данной программы ведется строительство объекта "Объездная автомобильная дорога к дачным кооперативам "Черёмушки", "Север-1, "Север-2" в обход гидротехнических сооружений ГРЭС-1 и ГРЭС-2 (1 этап. Автодорога от Восточной объездной дороги до СНТ №49 "Черемушки". ПК0+00-ПК54+08,16)". Работы выполняются в соответствии с заключенным муниципальным контрактом №31/2015 от 14.09.2015г. с АО «АВТОДОРСТРОЙ»    (протокол №ОК1055(2) от 28.08.2015г), сумма 586 738,64  тыс. руб.                                                                                                    
Готовность объекта - 100 %  с учетом планируемого расторжения контракта в связи с требованием  Филиала «Сургутская ГРЭС-2» ПАО «Юнипро» остановить работы по строительству съезда к СНТ №49 «Черемушки» так как Ростехнадзором были установлены и утверждены охранные зоны объектов по производству электрической энергии и указанный съезд попадает в охранную зону гидротехнического сооружения.   
В стоящее время выполняются работы по корректировке ПСД, в части исключения съезда, с целью ввода объекта в эксплуатацию. Планируется заключение соглашения о расторжение контракта   под факт исполнения,  в связи с чем ожидаемое неисполнение составит 12 886,5 тыс. руб.
 Ориентировочный ввод объекта в эксплуатацию - декабрь 2016 года (с учетом своевременного внесения изменений в проектно-сметную и иную документации).
1,74 тыс. руб. - экономия по результатам заключенных контрактов на ремонт автомобильных дорог.</t>
  </si>
  <si>
    <r>
      <rPr>
        <u/>
        <sz val="20"/>
        <color theme="1"/>
        <rFont val="Times New Roman"/>
        <family val="1"/>
        <charset val="204"/>
      </rPr>
      <t>ДГХ:</t>
    </r>
    <r>
      <rPr>
        <sz val="20"/>
        <color theme="1"/>
        <rFont val="Times New Roman"/>
        <family val="1"/>
        <charset val="204"/>
      </rPr>
      <t xml:space="preserve"> В рамках реализации  мероприятия "Развитие общественной инфраструктуры и реализация приоритетных направлений развития" ожидается остаток средств в размере  </t>
    </r>
    <r>
      <rPr>
        <b/>
        <sz val="20"/>
        <color theme="1"/>
        <rFont val="Times New Roman"/>
        <family val="1"/>
        <charset val="204"/>
      </rPr>
      <t>38,66 тыс.руб.</t>
    </r>
    <r>
      <rPr>
        <sz val="20"/>
        <color theme="1"/>
        <rFont val="Times New Roman"/>
        <family val="1"/>
        <charset val="204"/>
      </rPr>
      <t xml:space="preserve"> в связи со сложившейся экономией в результате уточнения объемов работ и сметной стоимости СМР по строительству объекта "Новое кладбище "Чернореченское-2" в г. Сургуте I пусковой комплекс 2 этап строительства".     
 2. Ремонт объектов социальной инфраструктуры - МБОУ СОШ № 19, МБОУ СОШ № 25, МБОУ гимназия "Лаборатория Салахова", МБОУ ДО "Центр детского творчества", МБДОУ ДС №92 "Веснушка", МБОУ СОШ № 26). Работы выполнены, ведется оформление исполнительной документации, срок исполнения контрактов - до 31.12.2016. 
</t>
    </r>
    <r>
      <rPr>
        <b/>
        <sz val="20"/>
        <color theme="1"/>
        <rFont val="Times New Roman"/>
        <family val="1"/>
        <charset val="204"/>
      </rPr>
      <t>536,56 тыс.руб</t>
    </r>
    <r>
      <rPr>
        <sz val="20"/>
        <color theme="1"/>
        <rFont val="Times New Roman"/>
        <family val="1"/>
        <charset val="204"/>
      </rPr>
      <t xml:space="preserve">. – экономия в связи с уточнением объемов работ, из них средства окружного бюджета 322,70 тыс.руб. будут возвращены в бюджет округа.                                                                                                                                         
</t>
    </r>
    <r>
      <rPr>
        <u/>
        <sz val="20"/>
        <color theme="1"/>
        <rFont val="Times New Roman"/>
        <family val="1"/>
        <charset val="204"/>
      </rPr>
      <t>УПиЭ:</t>
    </r>
    <r>
      <rPr>
        <sz val="20"/>
        <color theme="1"/>
        <rFont val="Times New Roman"/>
        <family val="1"/>
        <charset val="204"/>
      </rPr>
      <t xml:space="preserve">  В рамках реализации мероприятия "Развитие общественной инфраструктуры и реализация приоритетных направлений развития" на выполнение работ по строительству (обустройству) сквера в 5 "А" мкр. заключен ГПД № 20 от 26.05.16 с ЗАО "Компания "КС" на сумму 6 902,57 тыс. руб. за счёт средств окружного бюджета. Оплата принятых обязательств по договору в размере 6 530,45 тыс. руб. Денежные средства в размере </t>
    </r>
    <r>
      <rPr>
        <b/>
        <sz val="20"/>
        <color theme="1"/>
        <rFont val="Times New Roman"/>
        <family val="1"/>
        <charset val="204"/>
      </rPr>
      <t xml:space="preserve">372,12 тыс. руб. </t>
    </r>
    <r>
      <rPr>
        <sz val="20"/>
        <color theme="1"/>
        <rFont val="Times New Roman"/>
        <family val="1"/>
        <charset val="204"/>
      </rPr>
      <t xml:space="preserve"> будут возвращены в бюджет автономного округа.
2. На проведение строительного контроля за выполнением работ по строительству (обустройству) сквера в 5 "А" мкр. заключен ГПД № 24 от 19.05.16 с АО"ГК "Северавтодор" на сумму 225,78 тыс. руб. за счёт средств местного бюджета. Срок действия договора по 31.12.2016.
</t>
    </r>
    <r>
      <rPr>
        <u/>
        <sz val="20"/>
        <color theme="1"/>
        <rFont val="Times New Roman"/>
        <family val="1"/>
        <charset val="204"/>
      </rPr>
      <t xml:space="preserve">ДО,УБУиО(ДК): </t>
    </r>
    <r>
      <rPr>
        <sz val="20"/>
        <color theme="1"/>
        <rFont val="Times New Roman"/>
        <family val="1"/>
        <charset val="204"/>
      </rPr>
      <t xml:space="preserve"> Заключено соглашение о предоставлении субсидии из бюджета ХМАО-Югры на софинансирование расходных обязательств на повышение оплаты труда педагогических работников муниципальных образовательных организаций дополнительного образования детей. Реализация программы  осуществляется в плановом режиме.  Бюджетные ассигнования будут использованы в полном объеме до конца 2016 года.
</t>
    </r>
    <r>
      <rPr>
        <u/>
        <sz val="20"/>
        <color theme="1"/>
        <rFont val="Times New Roman"/>
        <family val="1"/>
        <charset val="204"/>
      </rPr>
      <t/>
    </r>
  </si>
  <si>
    <t>Оплата субсидий участникам программы будет производиться по мере подготовки департаментом городского хозяйства Постановлений о предоставлении субсидий на приобретение жилого помещения в собственность.                                                                                                             
Аукцион по приобретению жилого помещения для участника программы состоялся 13.05.2016 года. Заключен МК №11/2016 от 31.05.2016г (1 комн.кв, 43,1 м2, 2 268,31 тыс.руб). Жилое помещение приобретено.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</si>
</sst>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р.&quot;#,##0_);\(&quot;р.&quot;#,##0\)"/>
    <numFmt numFmtId="167" formatCode="0.0%"/>
    <numFmt numFmtId="168" formatCode="#,##0.000_р_."/>
    <numFmt numFmtId="169" formatCode="#,##0.00_р_."/>
  </numFmts>
  <fonts count="49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2"/>
      <charset val="204"/>
    </font>
    <font>
      <sz val="8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2"/>
      <charset val="204"/>
    </font>
    <font>
      <sz val="24"/>
      <color theme="1"/>
      <name val="Times New Roman"/>
      <family val="2"/>
      <charset val="204"/>
    </font>
    <font>
      <sz val="20"/>
      <color theme="1"/>
      <name val="Times New Roman"/>
      <family val="2"/>
      <charset val="204"/>
    </font>
    <font>
      <i/>
      <sz val="20"/>
      <color theme="1"/>
      <name val="Times New Roman"/>
      <family val="2"/>
      <charset val="204"/>
    </font>
    <font>
      <b/>
      <sz val="20"/>
      <color theme="1"/>
      <name val="Times New Roman"/>
      <family val="2"/>
      <charset val="204"/>
    </font>
    <font>
      <b/>
      <i/>
      <sz val="20"/>
      <color theme="1"/>
      <name val="Times New Roman"/>
      <family val="2"/>
      <charset val="204"/>
    </font>
    <font>
      <sz val="20"/>
      <color theme="9" tint="0.79998168889431442"/>
      <name val="Times New Roman"/>
      <family val="2"/>
      <charset val="204"/>
    </font>
    <font>
      <b/>
      <sz val="20"/>
      <color theme="0"/>
      <name val="Times New Roman"/>
      <family val="2"/>
      <charset val="204"/>
    </font>
    <font>
      <b/>
      <sz val="20"/>
      <color theme="9" tint="0.79998168889431442"/>
      <name val="Times New Roman"/>
      <family val="2"/>
      <charset val="204"/>
    </font>
    <font>
      <b/>
      <sz val="20"/>
      <name val="Times New Roman"/>
      <family val="2"/>
      <charset val="204"/>
    </font>
    <font>
      <sz val="20"/>
      <name val="Times New Roman"/>
      <family val="2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i/>
      <sz val="18"/>
      <color theme="1"/>
      <name val="Times New Roman"/>
      <family val="2"/>
      <charset val="204"/>
    </font>
    <font>
      <b/>
      <i/>
      <sz val="18"/>
      <color theme="1"/>
      <name val="Times New Roman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8"/>
      <color rgb="FF00B050"/>
      <name val="Times New Roman"/>
      <family val="2"/>
      <charset val="204"/>
    </font>
    <font>
      <i/>
      <sz val="20"/>
      <color theme="1"/>
      <name val="Times New Roman"/>
      <family val="1"/>
      <charset val="204"/>
    </font>
    <font>
      <u/>
      <sz val="20"/>
      <color theme="1"/>
      <name val="Times New Roman"/>
      <family val="1"/>
      <charset val="204"/>
    </font>
    <font>
      <b/>
      <sz val="18"/>
      <name val="Times New Roman"/>
      <family val="2"/>
      <charset val="204"/>
    </font>
    <font>
      <sz val="18"/>
      <name val="Times New Roman"/>
      <family val="2"/>
      <charset val="204"/>
    </font>
    <font>
      <b/>
      <i/>
      <sz val="18"/>
      <name val="Times New Roman"/>
      <family val="2"/>
      <charset val="204"/>
    </font>
    <font>
      <i/>
      <sz val="18"/>
      <name val="Times New Roman"/>
      <family val="2"/>
      <charset val="204"/>
    </font>
    <font>
      <i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u/>
      <sz val="20"/>
      <name val="Times New Roman"/>
      <family val="1"/>
      <charset val="204"/>
    </font>
    <font>
      <u/>
      <sz val="18"/>
      <color theme="1"/>
      <name val="Times New Roman"/>
      <family val="2"/>
      <charset val="204"/>
    </font>
    <font>
      <sz val="18"/>
      <color theme="1"/>
      <name val="Times New Roman"/>
      <family val="1"/>
      <charset val="204"/>
    </font>
    <font>
      <u/>
      <sz val="20"/>
      <name val="Times New Roman"/>
      <family val="2"/>
      <charset val="204"/>
    </font>
    <font>
      <i/>
      <sz val="20"/>
      <name val="Times New Roman"/>
      <family val="2"/>
      <charset val="204"/>
    </font>
    <font>
      <b/>
      <i/>
      <sz val="20"/>
      <name val="Times New Roman"/>
      <family val="2"/>
      <charset val="204"/>
    </font>
    <font>
      <i/>
      <sz val="20"/>
      <color rgb="FF00B050"/>
      <name val="Times New Roman"/>
      <family val="2"/>
      <charset val="204"/>
    </font>
    <font>
      <sz val="20"/>
      <color rgb="FFFF0000"/>
      <name val="Times New Roman"/>
      <family val="1"/>
      <charset val="204"/>
    </font>
    <font>
      <u/>
      <sz val="19"/>
      <color theme="1"/>
      <name val="Times New Roman"/>
      <family val="1"/>
      <charset val="204"/>
    </font>
    <font>
      <sz val="1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3" fillId="0" borderId="0"/>
    <xf numFmtId="0" fontId="5" fillId="0" borderId="0"/>
    <xf numFmtId="0" fontId="3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1" fillId="0" borderId="0"/>
    <xf numFmtId="0" fontId="5" fillId="0" borderId="0"/>
    <xf numFmtId="9" fontId="6" fillId="0" borderId="0" applyFont="0" applyFill="0" applyBorder="0" applyAlignment="0" applyProtection="0"/>
    <xf numFmtId="0" fontId="7" fillId="0" borderId="0"/>
    <xf numFmtId="0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8">
    <xf numFmtId="0" fontId="0" fillId="0" borderId="0" xfId="0"/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4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Fill="1" applyBorder="1" applyAlignment="1">
      <alignment wrapText="1"/>
    </xf>
    <xf numFmtId="9" fontId="14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4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Fill="1" applyAlignment="1">
      <alignment horizontal="left" vertical="top" wrapText="1"/>
    </xf>
    <xf numFmtId="4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vertical="center" wrapText="1"/>
      <protection locked="0"/>
    </xf>
    <xf numFmtId="2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wrapText="1"/>
    </xf>
    <xf numFmtId="4" fontId="14" fillId="0" borderId="0" xfId="0" applyNumberFormat="1" applyFont="1" applyFill="1" applyAlignment="1">
      <alignment wrapText="1"/>
    </xf>
    <xf numFmtId="2" fontId="14" fillId="0" borderId="0" xfId="0" applyNumberFormat="1" applyFont="1" applyFill="1" applyAlignment="1">
      <alignment wrapText="1"/>
    </xf>
    <xf numFmtId="9" fontId="14" fillId="0" borderId="0" xfId="0" applyNumberFormat="1" applyFont="1" applyFill="1" applyAlignment="1">
      <alignment wrapText="1"/>
    </xf>
    <xf numFmtId="4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top" wrapText="1"/>
    </xf>
    <xf numFmtId="0" fontId="33" fillId="0" borderId="1" xfId="0" applyFont="1" applyFill="1" applyBorder="1" applyAlignment="1" applyProtection="1">
      <alignment horizontal="left" vertical="center" wrapText="1"/>
      <protection locked="0"/>
    </xf>
    <xf numFmtId="0" fontId="34" fillId="0" borderId="1" xfId="0" applyFont="1" applyFill="1" applyBorder="1" applyAlignment="1" applyProtection="1">
      <alignment horizontal="left" vertical="center" wrapText="1"/>
      <protection locked="0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justify" wrapText="1"/>
    </xf>
    <xf numFmtId="0" fontId="14" fillId="0" borderId="0" xfId="0" applyFont="1" applyFill="1" applyAlignment="1">
      <alignment horizontal="justify" wrapText="1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vertical="center" wrapText="1"/>
      <protection locked="0"/>
    </xf>
    <xf numFmtId="0" fontId="16" fillId="0" borderId="1" xfId="0" applyFont="1" applyFill="1" applyBorder="1" applyAlignment="1" applyProtection="1">
      <alignment vertical="center" wrapText="1"/>
      <protection locked="0"/>
    </xf>
    <xf numFmtId="4" fontId="16" fillId="0" borderId="1" xfId="0" applyNumberFormat="1" applyFont="1" applyFill="1" applyBorder="1" applyAlignment="1" applyProtection="1">
      <alignment horizontal="justify" vertical="top" wrapText="1"/>
      <protection locked="0"/>
    </xf>
    <xf numFmtId="0" fontId="14" fillId="0" borderId="1" xfId="0" applyFont="1" applyFill="1" applyBorder="1" applyAlignment="1" applyProtection="1">
      <alignment vertical="center" wrapText="1"/>
      <protection locked="0"/>
    </xf>
    <xf numFmtId="4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quotePrefix="1" applyFont="1" applyFill="1" applyBorder="1" applyAlignment="1" applyProtection="1">
      <alignment horizontal="center" vertical="center" wrapText="1"/>
      <protection locked="0"/>
    </xf>
    <xf numFmtId="9" fontId="12" fillId="0" borderId="1" xfId="0" applyNumberFormat="1" applyFont="1" applyFill="1" applyBorder="1" applyAlignment="1" applyProtection="1">
      <alignment horizontal="justify" vertical="center" wrapText="1"/>
      <protection locked="0"/>
    </xf>
    <xf numFmtId="9" fontId="26" fillId="0" borderId="1" xfId="0" applyNumberFormat="1" applyFont="1" applyFill="1" applyBorder="1" applyAlignment="1" applyProtection="1">
      <alignment horizontal="justify" vertical="center" wrapText="1"/>
      <protection locked="0"/>
    </xf>
    <xf numFmtId="0" fontId="37" fillId="0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 applyProtection="1">
      <alignment horizontal="justify" vertical="top" wrapText="1"/>
      <protection locked="0"/>
    </xf>
    <xf numFmtId="4" fontId="14" fillId="0" borderId="0" xfId="0" applyNumberFormat="1" applyFont="1" applyFill="1" applyBorder="1" applyAlignment="1" applyProtection="1">
      <alignment horizontal="right" wrapText="1"/>
      <protection locked="0"/>
    </xf>
    <xf numFmtId="2" fontId="12" fillId="0" borderId="1" xfId="0" applyNumberFormat="1" applyFont="1" applyFill="1" applyBorder="1" applyAlignment="1" applyProtection="1">
      <alignment horizontal="center" vertical="top" wrapText="1"/>
      <protection locked="0"/>
    </xf>
    <xf numFmtId="9" fontId="12" fillId="0" borderId="1" xfId="0" applyNumberFormat="1" applyFont="1" applyFill="1" applyBorder="1" applyAlignment="1" applyProtection="1">
      <alignment horizontal="center" vertical="top" wrapText="1"/>
      <protection locked="0"/>
    </xf>
    <xf numFmtId="4" fontId="12" fillId="0" borderId="1" xfId="0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Font="1" applyFill="1" applyBorder="1" applyAlignment="1">
      <alignment horizontal="justify" wrapText="1"/>
    </xf>
    <xf numFmtId="4" fontId="14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1" xfId="0" applyFont="1" applyFill="1" applyBorder="1" applyAlignment="1" applyProtection="1">
      <alignment horizontal="justify" vertical="center" wrapText="1"/>
      <protection locked="0"/>
    </xf>
    <xf numFmtId="0" fontId="16" fillId="0" borderId="4" xfId="0" applyFont="1" applyFill="1" applyBorder="1" applyAlignment="1" applyProtection="1">
      <alignment horizontal="justify" vertical="top" wrapText="1"/>
      <protection locked="0"/>
    </xf>
    <xf numFmtId="0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4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44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4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44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" xfId="0" applyFont="1" applyFill="1" applyBorder="1" applyAlignment="1" applyProtection="1">
      <alignment horizontal="justify" vertical="center" wrapText="1"/>
      <protection locked="0"/>
    </xf>
    <xf numFmtId="0" fontId="43" fillId="0" borderId="1" xfId="0" applyFont="1" applyFill="1" applyBorder="1" applyAlignment="1" applyProtection="1">
      <alignment horizontal="justify" vertical="center" wrapText="1"/>
      <protection locked="0"/>
    </xf>
    <xf numFmtId="49" fontId="4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5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3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>
      <alignment wrapText="1"/>
    </xf>
    <xf numFmtId="0" fontId="36" fillId="0" borderId="1" xfId="0" applyFont="1" applyFill="1" applyBorder="1" applyAlignment="1" applyProtection="1">
      <alignment horizontal="left" vertical="center" wrapText="1"/>
      <protection locked="0"/>
    </xf>
    <xf numFmtId="167" fontId="4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4" fontId="16" fillId="0" borderId="0" xfId="0" applyNumberFormat="1" applyFont="1" applyFill="1" applyAlignment="1">
      <alignment horizontal="left" vertical="center" wrapText="1"/>
    </xf>
    <xf numFmtId="9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" xfId="0" applyNumberFormat="1" applyFont="1" applyFill="1" applyBorder="1" applyAlignment="1" applyProtection="1">
      <alignment vertical="center" wrapText="1"/>
      <protection locked="0"/>
    </xf>
    <xf numFmtId="9" fontId="2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justify" vertical="top" wrapText="1"/>
      <protection locked="0"/>
    </xf>
    <xf numFmtId="4" fontId="26" fillId="0" borderId="0" xfId="0" applyNumberFormat="1" applyFont="1" applyFill="1" applyAlignment="1">
      <alignment horizontal="left" vertical="center" wrapText="1"/>
    </xf>
    <xf numFmtId="9" fontId="14" fillId="0" borderId="1" xfId="0" applyNumberFormat="1" applyFont="1" applyFill="1" applyBorder="1" applyAlignment="1" applyProtection="1">
      <alignment horizontal="justify" vertical="center" wrapText="1"/>
      <protection locked="0"/>
    </xf>
    <xf numFmtId="167" fontId="14" fillId="0" borderId="1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10" fontId="14" fillId="0" borderId="1" xfId="0" applyNumberFormat="1" applyFont="1" applyFill="1" applyBorder="1" applyAlignment="1" applyProtection="1">
      <alignment horizontal="justify" vertical="center" wrapText="1"/>
      <protection locked="0"/>
    </xf>
    <xf numFmtId="0" fontId="22" fillId="0" borderId="1" xfId="0" applyFont="1" applyFill="1" applyBorder="1" applyAlignment="1" applyProtection="1">
      <alignment horizontal="left" vertical="center" wrapText="1"/>
      <protection locked="0"/>
    </xf>
    <xf numFmtId="0" fontId="44" fillId="0" borderId="1" xfId="0" applyFont="1" applyFill="1" applyBorder="1" applyAlignment="1" applyProtection="1">
      <alignment horizontal="left" vertical="center" wrapText="1"/>
      <protection locked="0"/>
    </xf>
    <xf numFmtId="9" fontId="4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" xfId="0" applyFont="1" applyFill="1" applyBorder="1" applyAlignment="1" applyProtection="1">
      <alignment horizontal="left" vertical="center" wrapText="1"/>
      <protection locked="0"/>
    </xf>
    <xf numFmtId="4" fontId="16" fillId="0" borderId="0" xfId="0" applyNumberFormat="1" applyFont="1" applyFill="1" applyAlignment="1">
      <alignment horizontal="left" vertical="top" wrapText="1"/>
    </xf>
    <xf numFmtId="4" fontId="16" fillId="0" borderId="0" xfId="0" applyNumberFormat="1" applyFont="1" applyFill="1" applyAlignment="1">
      <alignment horizontal="left" wrapText="1"/>
    </xf>
    <xf numFmtId="4" fontId="21" fillId="0" borderId="0" xfId="0" applyNumberFormat="1" applyFont="1" applyFill="1" applyAlignment="1">
      <alignment horizontal="left" wrapText="1"/>
    </xf>
    <xf numFmtId="4" fontId="21" fillId="0" borderId="0" xfId="0" applyNumberFormat="1" applyFont="1" applyFill="1" applyAlignment="1">
      <alignment horizontal="left" vertical="top" wrapText="1"/>
    </xf>
    <xf numFmtId="0" fontId="14" fillId="0" borderId="1" xfId="0" applyFont="1" applyFill="1" applyBorder="1" applyAlignment="1" applyProtection="1">
      <alignment horizontal="justify" vertical="center" wrapText="1"/>
      <protection locked="0"/>
    </xf>
    <xf numFmtId="9" fontId="14" fillId="0" borderId="1" xfId="0" applyNumberFormat="1" applyFont="1" applyFill="1" applyBorder="1" applyAlignment="1" applyProtection="1">
      <alignment horizontal="justify" vertical="top" wrapText="1"/>
      <protection locked="0"/>
    </xf>
    <xf numFmtId="0" fontId="22" fillId="0" borderId="1" xfId="0" applyFont="1" applyFill="1" applyBorder="1" applyAlignment="1" applyProtection="1">
      <alignment horizontal="justify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justify" vertical="center" wrapText="1"/>
      <protection locked="0"/>
    </xf>
    <xf numFmtId="4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2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" xfId="0" applyFont="1" applyFill="1" applyBorder="1" applyAlignment="1" applyProtection="1">
      <alignment horizontal="justify" vertical="top" wrapText="1"/>
      <protection locked="0"/>
    </xf>
    <xf numFmtId="0" fontId="22" fillId="0" borderId="1" xfId="0" applyFont="1" applyFill="1" applyBorder="1" applyAlignment="1" applyProtection="1">
      <alignment horizontal="justify" vertical="top" wrapText="1"/>
      <protection locked="0"/>
    </xf>
    <xf numFmtId="0" fontId="14" fillId="0" borderId="4" xfId="0" applyFont="1" applyFill="1" applyBorder="1" applyAlignment="1" applyProtection="1">
      <alignment horizontal="justify" vertical="top" wrapText="1"/>
      <protection locked="0"/>
    </xf>
    <xf numFmtId="0" fontId="14" fillId="0" borderId="2" xfId="0" applyFont="1" applyFill="1" applyBorder="1" applyAlignment="1" applyProtection="1">
      <alignment horizontal="justify" vertical="top" wrapText="1"/>
      <protection locked="0"/>
    </xf>
    <xf numFmtId="0" fontId="14" fillId="0" borderId="3" xfId="0" applyFont="1" applyFill="1" applyBorder="1" applyAlignment="1" applyProtection="1">
      <alignment horizontal="justify" vertical="top" wrapText="1"/>
      <protection locked="0"/>
    </xf>
    <xf numFmtId="0" fontId="23" fillId="0" borderId="1" xfId="0" applyFont="1" applyFill="1" applyBorder="1" applyAlignment="1" applyProtection="1">
      <alignment horizontal="justify" vertical="top" wrapText="1"/>
      <protection locked="0"/>
    </xf>
    <xf numFmtId="4" fontId="21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9" fontId="24" fillId="0" borderId="4" xfId="0" applyNumberFormat="1" applyFont="1" applyFill="1" applyBorder="1" applyAlignment="1" applyProtection="1">
      <alignment horizontal="center" vertical="center" wrapText="1"/>
      <protection locked="0"/>
    </xf>
    <xf numFmtId="9" fontId="24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Fill="1" applyBorder="1" applyAlignment="1" applyProtection="1">
      <alignment horizontal="justify" vertical="top" wrapText="1"/>
      <protection locked="0"/>
    </xf>
    <xf numFmtId="0" fontId="48" fillId="0" borderId="1" xfId="0" applyFont="1" applyFill="1" applyBorder="1" applyAlignment="1" applyProtection="1">
      <alignment horizontal="left" vertical="top" wrapText="1"/>
      <protection locked="0"/>
    </xf>
    <xf numFmtId="0" fontId="23" fillId="0" borderId="1" xfId="0" applyFont="1" applyFill="1" applyBorder="1" applyAlignment="1" applyProtection="1">
      <alignment horizontal="left" vertical="top" wrapText="1"/>
      <protection locked="0"/>
    </xf>
    <xf numFmtId="0" fontId="14" fillId="0" borderId="1" xfId="0" applyFont="1" applyFill="1" applyBorder="1" applyAlignment="1" applyProtection="1">
      <alignment horizontal="left" vertical="top" wrapText="1"/>
      <protection locked="0"/>
    </xf>
    <xf numFmtId="0" fontId="13" fillId="0" borderId="0" xfId="0" quotePrefix="1" applyFont="1" applyFill="1" applyBorder="1" applyAlignment="1" applyProtection="1">
      <alignment horizontal="center" vertical="center" wrapText="1"/>
      <protection locked="0"/>
    </xf>
    <xf numFmtId="16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2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164" fontId="12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justify" vertical="center" wrapText="1"/>
      <protection locked="0"/>
    </xf>
    <xf numFmtId="0" fontId="16" fillId="0" borderId="2" xfId="0" applyFont="1" applyFill="1" applyBorder="1" applyAlignment="1" applyProtection="1">
      <alignment horizontal="justify" vertical="center" wrapText="1"/>
      <protection locked="0"/>
    </xf>
    <xf numFmtId="0" fontId="16" fillId="0" borderId="3" xfId="0" applyFont="1" applyFill="1" applyBorder="1" applyAlignment="1" applyProtection="1">
      <alignment horizontal="justify" vertical="center" wrapText="1"/>
      <protection locked="0"/>
    </xf>
    <xf numFmtId="0" fontId="21" fillId="0" borderId="4" xfId="0" applyFont="1" applyFill="1" applyBorder="1" applyAlignment="1" applyProtection="1">
      <alignment horizontal="center" vertical="center" wrapText="1"/>
      <protection locked="0"/>
    </xf>
    <xf numFmtId="0" fontId="21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justify" vertical="center" wrapText="1"/>
      <protection locked="0"/>
    </xf>
    <xf numFmtId="9" fontId="14" fillId="0" borderId="1" xfId="0" applyNumberFormat="1" applyFont="1" applyFill="1" applyBorder="1" applyAlignment="1" applyProtection="1">
      <alignment horizontal="justify" vertical="top" wrapText="1"/>
      <protection locked="0"/>
    </xf>
    <xf numFmtId="0" fontId="22" fillId="0" borderId="1" xfId="0" applyFont="1" applyFill="1" applyBorder="1" applyAlignment="1" applyProtection="1">
      <alignment horizontal="justify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4" xfId="0" applyFont="1" applyFill="1" applyBorder="1" applyAlignment="1" applyProtection="1">
      <alignment horizontal="justify" vertical="center" wrapText="1"/>
      <protection locked="0"/>
    </xf>
    <xf numFmtId="0" fontId="21" fillId="0" borderId="3" xfId="0" applyFont="1" applyFill="1" applyBorder="1" applyAlignment="1" applyProtection="1">
      <alignment horizontal="justify" vertical="center" wrapText="1"/>
      <protection locked="0"/>
    </xf>
    <xf numFmtId="9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9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9" fontId="14" fillId="0" borderId="4" xfId="0" applyNumberFormat="1" applyFont="1" applyFill="1" applyBorder="1" applyAlignment="1" applyProtection="1">
      <alignment horizontal="justify" vertical="center" wrapText="1"/>
      <protection locked="0"/>
    </xf>
    <xf numFmtId="9" fontId="14" fillId="0" borderId="2" xfId="0" applyNumberFormat="1" applyFont="1" applyFill="1" applyBorder="1" applyAlignment="1" applyProtection="1">
      <alignment horizontal="justify" vertical="top" wrapText="1"/>
      <protection locked="0"/>
    </xf>
    <xf numFmtId="168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16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14" fillId="0" borderId="3" xfId="0" applyNumberFormat="1" applyFont="1" applyFill="1" applyBorder="1" applyAlignment="1" applyProtection="1">
      <alignment horizontal="justify" vertical="top" wrapText="1"/>
      <protection locked="0"/>
    </xf>
    <xf numFmtId="0" fontId="35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9" fontId="41" fillId="0" borderId="1" xfId="0" applyNumberFormat="1" applyFont="1" applyFill="1" applyBorder="1" applyAlignment="1" applyProtection="1">
      <alignment horizontal="justify" vertical="center" wrapText="1"/>
      <protection locked="0"/>
    </xf>
    <xf numFmtId="4" fontId="24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justify" vertical="top" wrapText="1"/>
      <protection locked="0"/>
    </xf>
    <xf numFmtId="0" fontId="23" fillId="0" borderId="4" xfId="0" applyFont="1" applyFill="1" applyBorder="1" applyAlignment="1" applyProtection="1">
      <alignment horizontal="justify" vertical="top" wrapText="1"/>
      <protection locked="0"/>
    </xf>
    <xf numFmtId="9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16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7 2" xfId="39"/>
    <cellStyle name="Обычный 17 2 2" xfId="47"/>
    <cellStyle name="Обычный 17 3" xfId="43"/>
    <cellStyle name="Обычный 2" xfId="9"/>
    <cellStyle name="Обычный 2 2" xfId="10"/>
    <cellStyle name="Обычный 2 2 2" xfId="11"/>
    <cellStyle name="Обычный 2 2 2 2" xfId="40"/>
    <cellStyle name="Обычный 2 2 2 2 2" xfId="48"/>
    <cellStyle name="Обычный 2 2 2 3" xfId="44"/>
    <cellStyle name="Обычный 2 2 3" xfId="12"/>
    <cellStyle name="Обычный 2 3" xfId="13"/>
    <cellStyle name="Обычный 2 3 2" xfId="41"/>
    <cellStyle name="Обычный 2 3 2 2" xfId="49"/>
    <cellStyle name="Обычный 2 3 3" xfId="45"/>
    <cellStyle name="Обычный 3" xfId="14"/>
    <cellStyle name="Обычный 3 2" xfId="15"/>
    <cellStyle name="Обычный 3 3" xfId="16"/>
    <cellStyle name="Обычный 3 4" xfId="17"/>
    <cellStyle name="Обычный 4" xfId="18"/>
    <cellStyle name="Обычный 5" xfId="19"/>
    <cellStyle name="Обычный 6" xfId="20"/>
    <cellStyle name="Обычный 7" xfId="21"/>
    <cellStyle name="Обычный 8" xfId="22"/>
    <cellStyle name="Обычный 8 2" xfId="42"/>
    <cellStyle name="Обычный 8 2 2" xfId="50"/>
    <cellStyle name="Обычный 8 3" xfId="46"/>
    <cellStyle name="Обычный 9" xfId="23"/>
    <cellStyle name="Процентный 2" xfId="24"/>
    <cellStyle name="Стиль 1" xfId="25"/>
    <cellStyle name="Финансовый 10" xfId="26"/>
    <cellStyle name="Финансовый 11" xfId="27"/>
    <cellStyle name="Финансовый 12" xfId="28"/>
    <cellStyle name="Финансовый 2" xfId="29"/>
    <cellStyle name="Финансовый 2 2" xfId="30"/>
    <cellStyle name="Финансовый 3" xfId="31"/>
    <cellStyle name="Финансовый 3 2" xfId="32"/>
    <cellStyle name="Финансовый 4" xfId="33"/>
    <cellStyle name="Финансовый 5" xfId="34"/>
    <cellStyle name="Финансовый 6" xfId="35"/>
    <cellStyle name="Финансовый 7" xfId="36"/>
    <cellStyle name="Финансовый 8" xfId="37"/>
    <cellStyle name="Финансовый 9" xfId="38"/>
  </cellStyles>
  <dxfs count="0"/>
  <tableStyles count="0" defaultTableStyle="TableStyleMedium9" defaultPivotStyle="PivotStyleLight16"/>
  <colors>
    <mruColors>
      <color rgb="FFCCE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outlinePr showOutlineSymbols="0"/>
    <pageSetUpPr fitToPage="1"/>
  </sheetPr>
  <dimension ref="A1:S419"/>
  <sheetViews>
    <sheetView showZeros="0" tabSelected="1" showOutlineSymbols="0" view="pageBreakPreview" topLeftCell="A154" zoomScale="40" zoomScaleNormal="50" zoomScaleSheetLayoutView="40" workbookViewId="0">
      <selection activeCell="I21" sqref="I21:I23"/>
    </sheetView>
  </sheetViews>
  <sheetFormatPr defaultRowHeight="26.25" outlineLevelRow="1" outlineLevelCol="2" x14ac:dyDescent="0.4"/>
  <cols>
    <col min="1" max="1" width="16" style="33" customWidth="1"/>
    <col min="2" max="2" width="116.625" style="55" customWidth="1"/>
    <col min="3" max="3" width="25.25" style="6" hidden="1" customWidth="1"/>
    <col min="4" max="4" width="22.5" style="6" hidden="1" customWidth="1"/>
    <col min="5" max="5" width="24.125" style="6" hidden="1" customWidth="1"/>
    <col min="6" max="6" width="26.375" style="34" customWidth="1"/>
    <col min="7" max="7" width="25.125" style="34" customWidth="1"/>
    <col min="8" max="8" width="26.125" style="35" customWidth="1" outlineLevel="2"/>
    <col min="9" max="9" width="23.875" style="36" customWidth="1" outlineLevel="2"/>
    <col min="10" max="10" width="24.25" style="34" customWidth="1" outlineLevel="2"/>
    <col min="11" max="11" width="26.125" style="36" customWidth="1" outlineLevel="2"/>
    <col min="12" max="12" width="26.625" style="36" customWidth="1" outlineLevel="2"/>
    <col min="13" max="14" width="23.75" style="36" hidden="1" customWidth="1" outlineLevel="2"/>
    <col min="15" max="15" width="23.75" style="36" customWidth="1" outlineLevel="2"/>
    <col min="16" max="16" width="163.25" style="55" customWidth="1"/>
    <col min="17" max="18" width="21.5" style="95" customWidth="1"/>
    <col min="19" max="19" width="13.375" style="6" customWidth="1"/>
    <col min="20" max="72" width="9" style="6" customWidth="1"/>
    <col min="73" max="16384" width="9" style="6"/>
  </cols>
  <sheetData>
    <row r="1" spans="1:19" ht="30.75" x14ac:dyDescent="0.45">
      <c r="A1" s="1"/>
      <c r="B1" s="73"/>
      <c r="C1" s="2"/>
      <c r="D1" s="2"/>
      <c r="E1" s="2"/>
      <c r="F1" s="3"/>
      <c r="G1" s="3"/>
      <c r="H1" s="4"/>
      <c r="I1" s="5"/>
      <c r="J1" s="3"/>
      <c r="K1" s="5"/>
      <c r="L1" s="5"/>
      <c r="M1" s="5"/>
      <c r="N1" s="5"/>
      <c r="O1" s="5"/>
      <c r="P1" s="54"/>
    </row>
    <row r="2" spans="1:19" ht="30.75" x14ac:dyDescent="0.45">
      <c r="A2" s="1"/>
      <c r="B2" s="73"/>
      <c r="C2" s="2"/>
      <c r="D2" s="2"/>
      <c r="E2" s="2"/>
      <c r="F2" s="3"/>
      <c r="G2" s="3"/>
      <c r="H2" s="4"/>
      <c r="I2" s="5"/>
      <c r="J2" s="3"/>
      <c r="K2" s="5"/>
      <c r="L2" s="5"/>
      <c r="M2" s="5"/>
      <c r="N2" s="5"/>
      <c r="O2" s="5"/>
      <c r="P2" s="54"/>
    </row>
    <row r="3" spans="1:19" ht="73.5" customHeight="1" x14ac:dyDescent="0.4">
      <c r="A3" s="144" t="s">
        <v>106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9" s="2" customFormat="1" ht="41.25" customHeight="1" x14ac:dyDescent="0.4">
      <c r="A4" s="7"/>
      <c r="B4" s="74"/>
      <c r="C4" s="7"/>
      <c r="D4" s="7"/>
      <c r="E4" s="7"/>
      <c r="F4" s="8"/>
      <c r="G4" s="8"/>
      <c r="H4" s="8"/>
      <c r="I4" s="8"/>
      <c r="J4" s="8"/>
      <c r="K4" s="9"/>
      <c r="L4" s="40"/>
      <c r="M4" s="9"/>
      <c r="N4" s="9"/>
      <c r="O4" s="9"/>
      <c r="P4" s="69" t="s">
        <v>36</v>
      </c>
      <c r="Q4" s="96"/>
      <c r="R4" s="96"/>
    </row>
    <row r="5" spans="1:19" s="41" customFormat="1" ht="72.75" customHeight="1" x14ac:dyDescent="0.25">
      <c r="A5" s="146" t="s">
        <v>3</v>
      </c>
      <c r="B5" s="149" t="s">
        <v>8</v>
      </c>
      <c r="C5" s="147" t="s">
        <v>17</v>
      </c>
      <c r="D5" s="147" t="s">
        <v>18</v>
      </c>
      <c r="E5" s="147" t="s">
        <v>19</v>
      </c>
      <c r="F5" s="147" t="s">
        <v>85</v>
      </c>
      <c r="G5" s="147"/>
      <c r="H5" s="154" t="s">
        <v>107</v>
      </c>
      <c r="I5" s="154"/>
      <c r="J5" s="154"/>
      <c r="K5" s="154"/>
      <c r="L5" s="150" t="s">
        <v>44</v>
      </c>
      <c r="M5" s="124"/>
      <c r="N5" s="124"/>
      <c r="O5" s="150" t="s">
        <v>58</v>
      </c>
      <c r="P5" s="151" t="s">
        <v>86</v>
      </c>
      <c r="Q5" s="95"/>
      <c r="R5" s="95"/>
    </row>
    <row r="6" spans="1:19" s="41" customFormat="1" ht="69.75" customHeight="1" x14ac:dyDescent="0.25">
      <c r="A6" s="146"/>
      <c r="B6" s="149"/>
      <c r="C6" s="147"/>
      <c r="D6" s="147"/>
      <c r="E6" s="147"/>
      <c r="F6" s="148" t="s">
        <v>42</v>
      </c>
      <c r="G6" s="147" t="s">
        <v>43</v>
      </c>
      <c r="H6" s="145" t="s">
        <v>7</v>
      </c>
      <c r="I6" s="145"/>
      <c r="J6" s="145" t="s">
        <v>6</v>
      </c>
      <c r="K6" s="145"/>
      <c r="L6" s="150"/>
      <c r="M6" s="124"/>
      <c r="N6" s="124"/>
      <c r="O6" s="150"/>
      <c r="P6" s="152"/>
      <c r="Q6" s="95"/>
      <c r="R6" s="95"/>
    </row>
    <row r="7" spans="1:19" s="41" customFormat="1" ht="69.75" x14ac:dyDescent="0.25">
      <c r="A7" s="146"/>
      <c r="B7" s="149"/>
      <c r="C7" s="147"/>
      <c r="D7" s="147"/>
      <c r="E7" s="147"/>
      <c r="F7" s="148"/>
      <c r="G7" s="147"/>
      <c r="H7" s="70" t="s">
        <v>0</v>
      </c>
      <c r="I7" s="71" t="s">
        <v>12</v>
      </c>
      <c r="J7" s="72" t="s">
        <v>9</v>
      </c>
      <c r="K7" s="71" t="s">
        <v>2</v>
      </c>
      <c r="L7" s="150"/>
      <c r="M7" s="124"/>
      <c r="N7" s="124"/>
      <c r="O7" s="150"/>
      <c r="P7" s="153"/>
      <c r="Q7" s="95"/>
      <c r="R7" s="95"/>
    </row>
    <row r="8" spans="1:19" s="14" customFormat="1" x14ac:dyDescent="0.25">
      <c r="A8" s="10">
        <v>1</v>
      </c>
      <c r="B8" s="10">
        <v>2</v>
      </c>
      <c r="C8" s="11">
        <v>4</v>
      </c>
      <c r="D8" s="11">
        <v>5</v>
      </c>
      <c r="E8" s="11">
        <v>6</v>
      </c>
      <c r="F8" s="11">
        <v>3</v>
      </c>
      <c r="G8" s="11">
        <v>4</v>
      </c>
      <c r="H8" s="12">
        <v>5</v>
      </c>
      <c r="I8" s="11">
        <v>6</v>
      </c>
      <c r="J8" s="11">
        <v>7</v>
      </c>
      <c r="K8" s="13">
        <v>8</v>
      </c>
      <c r="L8" s="13">
        <v>9</v>
      </c>
      <c r="M8" s="11"/>
      <c r="N8" s="11"/>
      <c r="O8" s="11">
        <v>10</v>
      </c>
      <c r="P8" s="13">
        <v>11</v>
      </c>
      <c r="Q8" s="44"/>
      <c r="R8" s="44"/>
    </row>
    <row r="9" spans="1:19" s="42" customFormat="1" ht="87" customHeight="1" x14ac:dyDescent="0.25">
      <c r="A9" s="146"/>
      <c r="B9" s="75" t="s">
        <v>35</v>
      </c>
      <c r="C9" s="15" t="e">
        <f>C10+C11+#REF!+C14</f>
        <v>#REF!</v>
      </c>
      <c r="D9" s="15" t="e">
        <f>D10+D11+#REF!+D14</f>
        <v>#REF!</v>
      </c>
      <c r="E9" s="15" t="e">
        <f>E10+E11+#REF!+#REF!+E14</f>
        <v>#REF!</v>
      </c>
      <c r="F9" s="15">
        <f>SUM(F10:F14)</f>
        <v>12974900.07</v>
      </c>
      <c r="G9" s="15">
        <f t="shared" ref="G9:N9" si="0">SUM(G10:G14)</f>
        <v>13132385.220000001</v>
      </c>
      <c r="H9" s="15">
        <f>SUM(H10:H14)</f>
        <v>10803090.99</v>
      </c>
      <c r="I9" s="15">
        <f>H9/G9*100</f>
        <v>82.26</v>
      </c>
      <c r="J9" s="15">
        <f t="shared" si="0"/>
        <v>10549431.49</v>
      </c>
      <c r="K9" s="15">
        <f>J9/G9*100</f>
        <v>80.33</v>
      </c>
      <c r="L9" s="15">
        <f t="shared" si="0"/>
        <v>12942054.529999999</v>
      </c>
      <c r="M9" s="15" t="e">
        <f t="shared" si="0"/>
        <v>#REF!</v>
      </c>
      <c r="N9" s="15" t="e">
        <f t="shared" si="0"/>
        <v>#REF!</v>
      </c>
      <c r="O9" s="15">
        <f>SUM(O10:O14)</f>
        <v>190330.69</v>
      </c>
      <c r="P9" s="59"/>
      <c r="Q9" s="97">
        <f>G9-L9</f>
        <v>190330.69</v>
      </c>
      <c r="R9" s="97">
        <f>O15+O21+O29+O36+O37+O43+O49+O55+O61+O62+O63+O147+O154+O161+O167+O173+O179+O180+O186+O187+O193+O194+O195+O196+O197</f>
        <v>190330.69</v>
      </c>
      <c r="S9" s="112">
        <f t="shared" ref="S9:S40" si="1">H9-J9</f>
        <v>253659.5</v>
      </c>
    </row>
    <row r="10" spans="1:19" s="41" customFormat="1" ht="39.75" customHeight="1" x14ac:dyDescent="0.25">
      <c r="A10" s="146"/>
      <c r="B10" s="116" t="s">
        <v>4</v>
      </c>
      <c r="C10" s="15" t="e">
        <f>#REF!+#REF!+#REF!+#REF!+#REF!+#REF!+#REF!+#REF!+#REF!+#REF!+#REF!+#REF!+#REF!+#REF!+#REF!+#REF!+#REF!+#REF!+#REF!+#REF!+#REF!+#REF!</f>
        <v>#REF!</v>
      </c>
      <c r="D10" s="15" t="e">
        <f>#REF!+#REF!+#REF!+#REF!+#REF!+#REF!+#REF!+#REF!+#REF!+#REF!+#REF!+#REF!+#REF!+#REF!+#REF!+#REF!+#REF!+#REF!+#REF!+#REF!+#REF!+#REF!</f>
        <v>#REF!</v>
      </c>
      <c r="E10" s="15" t="e">
        <f>#REF!+#REF!+#REF!+#REF!+#REF!+#REF!+#REF!+#REF!+#REF!+#REF!+#REF!+#REF!+#REF!+#REF!+#REF!+#REF!+#REF!+#REF!+#REF!+#REF!+#REF!+#REF!</f>
        <v>#REF!</v>
      </c>
      <c r="F10" s="15">
        <f t="shared" ref="F10:H14" si="2">F16+F24+F31+F38+F44+F50+F56+F64+F149+F156+F174+F181+F188</f>
        <v>38948.17</v>
      </c>
      <c r="G10" s="15">
        <f t="shared" si="2"/>
        <v>39354.47</v>
      </c>
      <c r="H10" s="15">
        <f t="shared" si="2"/>
        <v>34052.33</v>
      </c>
      <c r="I10" s="15">
        <f t="shared" ref="I10:I14" si="3">H10/G10*100</f>
        <v>86.53</v>
      </c>
      <c r="J10" s="15">
        <f>J16+J24+J31+J38+J44+J50+J56+J64+J149+J156+J174+J181+J188</f>
        <v>28766.91</v>
      </c>
      <c r="K10" s="15">
        <f t="shared" ref="K10:K14" si="4">J10/G10*100</f>
        <v>73.099999999999994</v>
      </c>
      <c r="L10" s="15">
        <f t="shared" ref="L10:O14" si="5">L16+L24+L31+L38+L44+L50+L56+L64+L149+L156+L174+L181+L188</f>
        <v>36655.730000000003</v>
      </c>
      <c r="M10" s="15" t="e">
        <f t="shared" si="5"/>
        <v>#REF!</v>
      </c>
      <c r="N10" s="15" t="e">
        <f t="shared" si="5"/>
        <v>#REF!</v>
      </c>
      <c r="O10" s="15">
        <f t="shared" si="5"/>
        <v>2698.74</v>
      </c>
      <c r="P10" s="59"/>
      <c r="Q10" s="97">
        <f>G10-L10</f>
        <v>2698.74</v>
      </c>
      <c r="R10" s="97">
        <f>O10-Q10</f>
        <v>0</v>
      </c>
      <c r="S10" s="112">
        <f t="shared" si="1"/>
        <v>5285.42</v>
      </c>
    </row>
    <row r="11" spans="1:19" s="41" customFormat="1" ht="39.75" customHeight="1" x14ac:dyDescent="0.25">
      <c r="A11" s="146"/>
      <c r="B11" s="116" t="s">
        <v>16</v>
      </c>
      <c r="C11" s="15" t="e">
        <f>C44++C20+#REF!+#REF!+#REF!+#REF!+#REF!+#REF!+#REF!+#REF!+#REF!+#REF!+#REF!+#REF!+#REF!+#REF!+#REF!+#REF!+#REF!+#REF!+#REF!+#REF!</f>
        <v>#REF!</v>
      </c>
      <c r="D11" s="15" t="e">
        <f>D44++D20+#REF!+#REF!+#REF!+#REF!+#REF!+#REF!+#REF!+#REF!+#REF!+#REF!+#REF!+#REF!+#REF!+#REF!+#REF!+#REF!+#REF!+#REF!+#REF!+#REF!</f>
        <v>#REF!</v>
      </c>
      <c r="E11" s="15" t="e">
        <f>E44++E20+#REF!+#REF!+#REF!+#REF!+#REF!+#REF!+#REF!+#REF!+#REF!+#REF!+#REF!+#REF!+#REF!+#REF!+#REF!+#REF!+#REF!+#REF!+#REF!+#REF!</f>
        <v>#REF!</v>
      </c>
      <c r="F11" s="15">
        <f>F17+F25+F32+F39+F45+F51+F57+F65+F150+F157+F175+F182+F189</f>
        <v>12283025.550000001</v>
      </c>
      <c r="G11" s="15">
        <f t="shared" si="2"/>
        <v>12405489.32</v>
      </c>
      <c r="H11" s="15">
        <f t="shared" si="2"/>
        <v>10295147.83</v>
      </c>
      <c r="I11" s="15">
        <f t="shared" si="3"/>
        <v>82.99</v>
      </c>
      <c r="J11" s="15">
        <f>J17+J25+J32+J39+J45+J51+J57+J65+J150+J157+J175+J182+J189</f>
        <v>10046773.77</v>
      </c>
      <c r="K11" s="15">
        <f t="shared" si="4"/>
        <v>80.989999999999995</v>
      </c>
      <c r="L11" s="15">
        <f t="shared" si="5"/>
        <v>12263340.84</v>
      </c>
      <c r="M11" s="15" t="e">
        <f t="shared" si="5"/>
        <v>#REF!</v>
      </c>
      <c r="N11" s="15" t="e">
        <f t="shared" si="5"/>
        <v>#REF!</v>
      </c>
      <c r="O11" s="15">
        <f t="shared" si="5"/>
        <v>142148.48000000001</v>
      </c>
      <c r="P11" s="59"/>
      <c r="Q11" s="97">
        <f t="shared" ref="Q11:Q40" si="6">G11-L11</f>
        <v>142148.48000000001</v>
      </c>
      <c r="R11" s="97">
        <f t="shared" ref="R11:R68" si="7">O11-Q11</f>
        <v>0</v>
      </c>
      <c r="S11" s="112">
        <f t="shared" si="1"/>
        <v>248374.06</v>
      </c>
    </row>
    <row r="12" spans="1:19" s="41" customFormat="1" ht="39.75" customHeight="1" x14ac:dyDescent="0.25">
      <c r="A12" s="146"/>
      <c r="B12" s="116" t="s">
        <v>11</v>
      </c>
      <c r="C12" s="15" t="e">
        <f>#REF!+#REF!+#REF!+#REF!+#REF!+#REF!+#REF!+#REF!+#REF!+#REF!+#REF!+#REF!+#REF!+#REF!+#REF!+#REF!+#REF!+#REF!+C47+#REF!+#REF!+#REF!+#REF!</f>
        <v>#REF!</v>
      </c>
      <c r="D12" s="15" t="e">
        <f>#REF!+#REF!+#REF!+#REF!+#REF!+#REF!+#REF!+#REF!+#REF!+#REF!+#REF!+#REF!+#REF!+#REF!+#REF!+#REF!+#REF!+#REF!+D47+#REF!+#REF!+#REF!+#REF!</f>
        <v>#REF!</v>
      </c>
      <c r="E12" s="15" t="e">
        <f>#REF!+#REF!+#REF!+#REF!+#REF!+#REF!+#REF!+#REF!+#REF!+#REF!+#REF!+#REF!+#REF!+#REF!+#REF!+#REF!+#REF!+#REF!+E47+#REF!+#REF!+#REF!+#REF!</f>
        <v>#REF!</v>
      </c>
      <c r="F12" s="15">
        <f t="shared" si="2"/>
        <v>438014.4</v>
      </c>
      <c r="G12" s="15">
        <f t="shared" si="2"/>
        <v>461297.31</v>
      </c>
      <c r="H12" s="15">
        <f t="shared" si="2"/>
        <v>314936.53999999998</v>
      </c>
      <c r="I12" s="15">
        <f t="shared" si="3"/>
        <v>68.27</v>
      </c>
      <c r="J12" s="15">
        <f>J18+J26+J33+J40+J46+J52+J58+J66+J151+J158+J176+J183+J190</f>
        <v>314936.52</v>
      </c>
      <c r="K12" s="15">
        <f t="shared" si="4"/>
        <v>68.27</v>
      </c>
      <c r="L12" s="15">
        <f t="shared" si="5"/>
        <v>437463.49</v>
      </c>
      <c r="M12" s="15" t="e">
        <f t="shared" si="5"/>
        <v>#REF!</v>
      </c>
      <c r="N12" s="15" t="e">
        <f t="shared" si="5"/>
        <v>#REF!</v>
      </c>
      <c r="O12" s="15">
        <f t="shared" si="5"/>
        <v>23833.82</v>
      </c>
      <c r="P12" s="59"/>
      <c r="Q12" s="97">
        <f t="shared" si="6"/>
        <v>23833.82</v>
      </c>
      <c r="R12" s="97">
        <f t="shared" si="7"/>
        <v>0</v>
      </c>
      <c r="S12" s="112">
        <f t="shared" si="1"/>
        <v>0.02</v>
      </c>
    </row>
    <row r="13" spans="1:19" s="41" customFormat="1" ht="39.75" customHeight="1" x14ac:dyDescent="0.25">
      <c r="A13" s="146"/>
      <c r="B13" s="116" t="s">
        <v>13</v>
      </c>
      <c r="C13" s="15" t="e">
        <f>#REF!+#REF!+#REF!+#REF!+#REF!+#REF!+#REF!+#REF!+#REF!+#REF!+#REF!+#REF!+#REF!+#REF!+#REF!+#REF!+#REF!+#REF!+C48+#REF!+#REF!+#REF!+#REF!</f>
        <v>#REF!</v>
      </c>
      <c r="D13" s="15" t="e">
        <f>#REF!+#REF!+#REF!+#REF!+#REF!+#REF!+#REF!+#REF!+#REF!+#REF!+#REF!+#REF!+#REF!+#REF!+#REF!+#REF!+#REF!+#REF!+D48+#REF!+#REF!+#REF!+#REF!</f>
        <v>#REF!</v>
      </c>
      <c r="E13" s="15" t="e">
        <f>#REF!+#REF!+#REF!+#REF!+#REF!+#REF!+#REF!+#REF!+#REF!+#REF!+#REF!+#REF!+#REF!+#REF!+#REF!+#REF!+#REF!+#REF!+E48+#REF!+#REF!+#REF!+#REF!</f>
        <v>#REF!</v>
      </c>
      <c r="F13" s="15">
        <f t="shared" si="2"/>
        <v>103187.86</v>
      </c>
      <c r="G13" s="15">
        <f t="shared" si="2"/>
        <v>106973.38</v>
      </c>
      <c r="H13" s="15">
        <f t="shared" si="2"/>
        <v>71049.63</v>
      </c>
      <c r="I13" s="15">
        <f t="shared" si="3"/>
        <v>66.42</v>
      </c>
      <c r="J13" s="15">
        <f>J19+J27+J34+J41+J47+J53+J59+J67+J152+J159+J177+J184+J191</f>
        <v>71049.63</v>
      </c>
      <c r="K13" s="15">
        <f t="shared" si="4"/>
        <v>66.42</v>
      </c>
      <c r="L13" s="15">
        <f t="shared" si="5"/>
        <v>99927.54</v>
      </c>
      <c r="M13" s="15" t="e">
        <f t="shared" si="5"/>
        <v>#REF!</v>
      </c>
      <c r="N13" s="15" t="e">
        <f t="shared" si="5"/>
        <v>#REF!</v>
      </c>
      <c r="O13" s="15">
        <f t="shared" si="5"/>
        <v>7045.84</v>
      </c>
      <c r="P13" s="59"/>
      <c r="Q13" s="97">
        <f t="shared" si="6"/>
        <v>7045.84</v>
      </c>
      <c r="R13" s="97">
        <f t="shared" si="7"/>
        <v>0</v>
      </c>
      <c r="S13" s="112">
        <f t="shared" si="1"/>
        <v>0</v>
      </c>
    </row>
    <row r="14" spans="1:19" s="41" customFormat="1" ht="39.75" customHeight="1" x14ac:dyDescent="0.25">
      <c r="A14" s="146"/>
      <c r="B14" s="116" t="s">
        <v>5</v>
      </c>
      <c r="C14" s="15" t="e">
        <f>#REF!+#REF!+#REF!+#REF!+#REF!+#REF!+#REF!+#REF!+#REF!+#REF!+#REF!+#REF!+#REF!+#REF!+#REF!+#REF!+#REF!+#REF!+#REF!+#REF!+#REF!</f>
        <v>#REF!</v>
      </c>
      <c r="D14" s="15" t="e">
        <f>#REF!+#REF!+#REF!+#REF!+#REF!+#REF!+#REF!+#REF!+#REF!+#REF!+#REF!+#REF!+#REF!+#REF!+#REF!+#REF!+#REF!+#REF!+#REF!+#REF!+#REF!</f>
        <v>#REF!</v>
      </c>
      <c r="E14" s="15" t="e">
        <f>#REF!+#REF!+#REF!+#REF!+#REF!+#REF!+#REF!+#REF!+#REF!+#REF!+#REF!+#REF!+#REF!+#REF!+#REF!+#REF!+#REF!+#REF!+#REF!+#REF!+#REF!</f>
        <v>#REF!</v>
      </c>
      <c r="F14" s="15">
        <f t="shared" si="2"/>
        <v>111724.09</v>
      </c>
      <c r="G14" s="15">
        <f t="shared" si="2"/>
        <v>119270.74</v>
      </c>
      <c r="H14" s="15">
        <f t="shared" si="2"/>
        <v>87904.66</v>
      </c>
      <c r="I14" s="15">
        <f t="shared" si="3"/>
        <v>73.7</v>
      </c>
      <c r="J14" s="15">
        <f>J20+J28+J35+J42+J48+J54+J60+J68+J153+J160+J178+J185+J192</f>
        <v>87904.66</v>
      </c>
      <c r="K14" s="15">
        <f t="shared" si="4"/>
        <v>73.7</v>
      </c>
      <c r="L14" s="15">
        <f t="shared" si="5"/>
        <v>104666.93</v>
      </c>
      <c r="M14" s="15">
        <f t="shared" si="5"/>
        <v>0</v>
      </c>
      <c r="N14" s="15">
        <f t="shared" si="5"/>
        <v>0</v>
      </c>
      <c r="O14" s="15">
        <f t="shared" si="5"/>
        <v>14603.81</v>
      </c>
      <c r="P14" s="59"/>
      <c r="Q14" s="97">
        <f t="shared" si="6"/>
        <v>14603.81</v>
      </c>
      <c r="R14" s="97">
        <f t="shared" si="7"/>
        <v>0</v>
      </c>
      <c r="S14" s="112">
        <f t="shared" si="1"/>
        <v>0</v>
      </c>
    </row>
    <row r="15" spans="1:19" s="42" customFormat="1" ht="342.75" customHeight="1" x14ac:dyDescent="0.25">
      <c r="A15" s="155" t="s">
        <v>37</v>
      </c>
      <c r="B15" s="75" t="s">
        <v>93</v>
      </c>
      <c r="C15" s="15" t="e">
        <f>SUM(C20:C20)</f>
        <v>#REF!</v>
      </c>
      <c r="D15" s="15" t="e">
        <f>SUM(D20:D20)</f>
        <v>#REF!</v>
      </c>
      <c r="E15" s="15" t="e">
        <f>SUM(E20:E20)</f>
        <v>#REF!</v>
      </c>
      <c r="F15" s="15">
        <f>F16+F17+F18+F19+F20</f>
        <v>206597.24</v>
      </c>
      <c r="G15" s="15">
        <f t="shared" ref="G15:J15" si="8">G16+G17+G18+G19+G20</f>
        <v>206597.24</v>
      </c>
      <c r="H15" s="15">
        <f t="shared" si="8"/>
        <v>198951.14</v>
      </c>
      <c r="I15" s="17">
        <f>H15/G15</f>
        <v>0.96</v>
      </c>
      <c r="J15" s="15">
        <f t="shared" si="8"/>
        <v>198951.14</v>
      </c>
      <c r="K15" s="39">
        <f>J15/G15</f>
        <v>0.96</v>
      </c>
      <c r="L15" s="15">
        <f t="shared" ref="L15" si="9">L16+L17+L18+L19+L20</f>
        <v>201512.49</v>
      </c>
      <c r="M15" s="15">
        <f t="shared" ref="M15" si="10">M16+M17+M18+M19+M20</f>
        <v>0</v>
      </c>
      <c r="N15" s="15">
        <f t="shared" ref="N15" si="11">N16+N17+N18+N19+N20</f>
        <v>0</v>
      </c>
      <c r="O15" s="15">
        <f t="shared" ref="O15" si="12">O16+O17+O18+O19+O20</f>
        <v>5084.75</v>
      </c>
      <c r="P15" s="143" t="s">
        <v>119</v>
      </c>
      <c r="Q15" s="97">
        <f t="shared" si="6"/>
        <v>5084.75</v>
      </c>
      <c r="R15" s="97">
        <f t="shared" si="7"/>
        <v>0</v>
      </c>
      <c r="S15" s="112">
        <f t="shared" si="1"/>
        <v>0</v>
      </c>
    </row>
    <row r="16" spans="1:19" s="42" customFormat="1" ht="45" customHeight="1" x14ac:dyDescent="0.25">
      <c r="A16" s="156"/>
      <c r="B16" s="116" t="s">
        <v>4</v>
      </c>
      <c r="C16" s="15"/>
      <c r="D16" s="15"/>
      <c r="E16" s="15"/>
      <c r="F16" s="37"/>
      <c r="G16" s="37"/>
      <c r="H16" s="37"/>
      <c r="I16" s="38"/>
      <c r="J16" s="37"/>
      <c r="K16" s="38"/>
      <c r="L16" s="37"/>
      <c r="M16" s="38"/>
      <c r="N16" s="38"/>
      <c r="O16" s="37"/>
      <c r="P16" s="143"/>
      <c r="Q16" s="97">
        <f t="shared" si="6"/>
        <v>0</v>
      </c>
      <c r="R16" s="97">
        <f t="shared" si="7"/>
        <v>0</v>
      </c>
      <c r="S16" s="112">
        <f t="shared" si="1"/>
        <v>0</v>
      </c>
    </row>
    <row r="17" spans="1:19" s="42" customFormat="1" ht="45.75" customHeight="1" x14ac:dyDescent="0.25">
      <c r="A17" s="156"/>
      <c r="B17" s="116" t="s">
        <v>16</v>
      </c>
      <c r="C17" s="15"/>
      <c r="D17" s="15"/>
      <c r="E17" s="15"/>
      <c r="F17" s="37">
        <v>162038.70000000001</v>
      </c>
      <c r="G17" s="37">
        <v>162038.70000000001</v>
      </c>
      <c r="H17" s="37">
        <v>154392.6</v>
      </c>
      <c r="I17" s="38">
        <f>H17/G17</f>
        <v>0.95</v>
      </c>
      <c r="J17" s="37">
        <v>154392.6</v>
      </c>
      <c r="K17" s="38">
        <f>J17/G17</f>
        <v>0.95</v>
      </c>
      <c r="L17" s="37">
        <v>156953.95000000001</v>
      </c>
      <c r="M17" s="38"/>
      <c r="N17" s="38"/>
      <c r="O17" s="37">
        <f>G17-L17</f>
        <v>5084.75</v>
      </c>
      <c r="P17" s="143"/>
      <c r="Q17" s="97">
        <f t="shared" si="6"/>
        <v>5084.75</v>
      </c>
      <c r="R17" s="97">
        <f t="shared" si="7"/>
        <v>0</v>
      </c>
      <c r="S17" s="112">
        <f t="shared" si="1"/>
        <v>0</v>
      </c>
    </row>
    <row r="18" spans="1:19" s="42" customFormat="1" ht="45.75" customHeight="1" x14ac:dyDescent="0.25">
      <c r="A18" s="156"/>
      <c r="B18" s="116" t="s">
        <v>11</v>
      </c>
      <c r="C18" s="15"/>
      <c r="D18" s="15"/>
      <c r="E18" s="15"/>
      <c r="F18" s="37"/>
      <c r="G18" s="37"/>
      <c r="H18" s="37"/>
      <c r="I18" s="38"/>
      <c r="J18" s="37"/>
      <c r="K18" s="38"/>
      <c r="L18" s="37"/>
      <c r="M18" s="38"/>
      <c r="N18" s="38"/>
      <c r="O18" s="37"/>
      <c r="P18" s="143"/>
      <c r="Q18" s="97">
        <f t="shared" si="6"/>
        <v>0</v>
      </c>
      <c r="R18" s="97">
        <f t="shared" si="7"/>
        <v>0</v>
      </c>
      <c r="S18" s="112">
        <f t="shared" si="1"/>
        <v>0</v>
      </c>
    </row>
    <row r="19" spans="1:19" s="42" customFormat="1" ht="46.5" customHeight="1" x14ac:dyDescent="0.25">
      <c r="A19" s="156"/>
      <c r="B19" s="116" t="s">
        <v>13</v>
      </c>
      <c r="C19" s="15"/>
      <c r="D19" s="15"/>
      <c r="E19" s="15"/>
      <c r="F19" s="37">
        <v>44558.54</v>
      </c>
      <c r="G19" s="37">
        <v>44558.54</v>
      </c>
      <c r="H19" s="37">
        <v>44558.54</v>
      </c>
      <c r="I19" s="38">
        <f>H19/G19</f>
        <v>1</v>
      </c>
      <c r="J19" s="37">
        <v>44558.54</v>
      </c>
      <c r="K19" s="38">
        <f>J19/G19</f>
        <v>1</v>
      </c>
      <c r="L19" s="37">
        <v>44558.54</v>
      </c>
      <c r="M19" s="38"/>
      <c r="N19" s="38"/>
      <c r="O19" s="37">
        <f>G19-L19</f>
        <v>0</v>
      </c>
      <c r="P19" s="143"/>
      <c r="Q19" s="97">
        <f t="shared" si="6"/>
        <v>0</v>
      </c>
      <c r="R19" s="97">
        <f t="shared" si="7"/>
        <v>0</v>
      </c>
      <c r="S19" s="112">
        <f t="shared" si="1"/>
        <v>0</v>
      </c>
    </row>
    <row r="20" spans="1:19" s="41" customFormat="1" ht="45.75" customHeight="1" x14ac:dyDescent="0.25">
      <c r="A20" s="157"/>
      <c r="B20" s="116" t="s">
        <v>5</v>
      </c>
      <c r="C20" s="16" t="e">
        <f>#REF!+#REF!+#REF!+#REF!+#REF!+#REF!+#REF!+#REF!+#REF!</f>
        <v>#REF!</v>
      </c>
      <c r="D20" s="16" t="e">
        <f>#REF!+#REF!+#REF!+#REF!+#REF!+#REF!+#REF!+#REF!+#REF!</f>
        <v>#REF!</v>
      </c>
      <c r="E20" s="16" t="e">
        <f>#REF!+#REF!+#REF!+#REF!+#REF!+#REF!+#REF!+#REF!+#REF!</f>
        <v>#REF!</v>
      </c>
      <c r="F20" s="37"/>
      <c r="G20" s="37"/>
      <c r="H20" s="37"/>
      <c r="I20" s="38"/>
      <c r="J20" s="37"/>
      <c r="K20" s="38"/>
      <c r="L20" s="37"/>
      <c r="M20" s="38"/>
      <c r="N20" s="38"/>
      <c r="O20" s="37"/>
      <c r="P20" s="143"/>
      <c r="Q20" s="97">
        <f t="shared" si="6"/>
        <v>0</v>
      </c>
      <c r="R20" s="97">
        <f t="shared" si="7"/>
        <v>0</v>
      </c>
      <c r="S20" s="112">
        <f t="shared" si="1"/>
        <v>0</v>
      </c>
    </row>
    <row r="21" spans="1:19" ht="26.25" customHeight="1" x14ac:dyDescent="0.4">
      <c r="A21" s="155" t="s">
        <v>14</v>
      </c>
      <c r="B21" s="158" t="s">
        <v>102</v>
      </c>
      <c r="C21" s="15" t="e">
        <f>SUM(C26:C28)</f>
        <v>#REF!</v>
      </c>
      <c r="D21" s="15" t="e">
        <f>SUM(D26:D28)</f>
        <v>#REF!</v>
      </c>
      <c r="E21" s="15" t="e">
        <f>SUM(E26:E28)</f>
        <v>#REF!</v>
      </c>
      <c r="F21" s="134">
        <f>F24+F25+F26+F27</f>
        <v>8478627.9100000001</v>
      </c>
      <c r="G21" s="134">
        <f>G24+G25+G26+G27</f>
        <v>8542987.6999999993</v>
      </c>
      <c r="H21" s="134">
        <f>H24+H25+H26+H27</f>
        <v>7471345.6399999997</v>
      </c>
      <c r="I21" s="134">
        <f>(H21/G21)*100</f>
        <v>87.46</v>
      </c>
      <c r="J21" s="134">
        <f>J24+J25+J26+J27</f>
        <v>7396229.8700000001</v>
      </c>
      <c r="K21" s="185">
        <f>J21/G21</f>
        <v>0.87</v>
      </c>
      <c r="L21" s="134">
        <f>SUM(L24:L28)</f>
        <v>8542543.1099999994</v>
      </c>
      <c r="M21" s="134">
        <f>M24+M25+M26</f>
        <v>0</v>
      </c>
      <c r="N21" s="134">
        <f>N24+N25+N26</f>
        <v>0</v>
      </c>
      <c r="O21" s="134">
        <f>SUM(O24:O28)</f>
        <v>444.59</v>
      </c>
      <c r="P21" s="141" t="s">
        <v>116</v>
      </c>
      <c r="Q21" s="97">
        <f t="shared" si="6"/>
        <v>444.59</v>
      </c>
      <c r="R21" s="97">
        <f t="shared" si="7"/>
        <v>0</v>
      </c>
      <c r="S21" s="113">
        <f t="shared" si="1"/>
        <v>75115.77</v>
      </c>
    </row>
    <row r="22" spans="1:19" ht="243.75" customHeight="1" x14ac:dyDescent="0.4">
      <c r="A22" s="156"/>
      <c r="B22" s="159"/>
      <c r="C22" s="15"/>
      <c r="D22" s="15"/>
      <c r="E22" s="15"/>
      <c r="F22" s="139"/>
      <c r="G22" s="139"/>
      <c r="H22" s="139"/>
      <c r="I22" s="139"/>
      <c r="J22" s="139"/>
      <c r="K22" s="186"/>
      <c r="L22" s="139"/>
      <c r="M22" s="139"/>
      <c r="N22" s="139"/>
      <c r="O22" s="139"/>
      <c r="P22" s="142"/>
      <c r="Q22" s="97">
        <f t="shared" si="6"/>
        <v>0</v>
      </c>
      <c r="R22" s="97">
        <f t="shared" si="7"/>
        <v>0</v>
      </c>
      <c r="S22" s="113">
        <f t="shared" si="1"/>
        <v>0</v>
      </c>
    </row>
    <row r="23" spans="1:19" ht="372.75" customHeight="1" x14ac:dyDescent="0.4">
      <c r="A23" s="26"/>
      <c r="B23" s="160"/>
      <c r="C23" s="15"/>
      <c r="D23" s="15"/>
      <c r="E23" s="15"/>
      <c r="F23" s="135"/>
      <c r="G23" s="135"/>
      <c r="H23" s="135"/>
      <c r="I23" s="135"/>
      <c r="J23" s="135"/>
      <c r="K23" s="187"/>
      <c r="L23" s="135"/>
      <c r="M23" s="135"/>
      <c r="N23" s="135"/>
      <c r="O23" s="135"/>
      <c r="P23" s="142"/>
      <c r="Q23" s="97">
        <f t="shared" si="6"/>
        <v>0</v>
      </c>
      <c r="R23" s="97">
        <f t="shared" si="7"/>
        <v>0</v>
      </c>
      <c r="S23" s="113">
        <f t="shared" si="1"/>
        <v>0</v>
      </c>
    </row>
    <row r="24" spans="1:19" ht="63" customHeight="1" x14ac:dyDescent="0.4">
      <c r="A24" s="123"/>
      <c r="B24" s="116" t="s">
        <v>4</v>
      </c>
      <c r="C24" s="15"/>
      <c r="D24" s="15"/>
      <c r="E24" s="15"/>
      <c r="F24" s="15"/>
      <c r="G24" s="16">
        <v>1200</v>
      </c>
      <c r="H24" s="37">
        <v>1200</v>
      </c>
      <c r="I24" s="38">
        <f t="shared" ref="I24" si="13">H24/G24</f>
        <v>1</v>
      </c>
      <c r="J24" s="15"/>
      <c r="K24" s="38">
        <f t="shared" ref="K24" si="14">J24/G24</f>
        <v>0</v>
      </c>
      <c r="L24" s="37">
        <v>1200</v>
      </c>
      <c r="M24" s="19"/>
      <c r="N24" s="19"/>
      <c r="O24" s="15"/>
      <c r="P24" s="143"/>
      <c r="Q24" s="97">
        <f t="shared" si="6"/>
        <v>0</v>
      </c>
      <c r="R24" s="97">
        <f t="shared" si="7"/>
        <v>0</v>
      </c>
      <c r="S24" s="113">
        <f t="shared" si="1"/>
        <v>1200</v>
      </c>
    </row>
    <row r="25" spans="1:19" ht="49.5" customHeight="1" x14ac:dyDescent="0.4">
      <c r="A25" s="123"/>
      <c r="B25" s="116" t="s">
        <v>16</v>
      </c>
      <c r="C25" s="15"/>
      <c r="D25" s="15"/>
      <c r="E25" s="15"/>
      <c r="F25" s="37">
        <v>8436572.8000000007</v>
      </c>
      <c r="G25" s="37">
        <v>8497547.5899999999</v>
      </c>
      <c r="H25" s="37">
        <v>7437502.54</v>
      </c>
      <c r="I25" s="38">
        <f>H25/G25</f>
        <v>0.88</v>
      </c>
      <c r="J25" s="37">
        <v>7363586.7699999996</v>
      </c>
      <c r="K25" s="38">
        <f>J25/G25</f>
        <v>0.87</v>
      </c>
      <c r="L25" s="37">
        <f>23664.83+8473602.99+57.5</f>
        <v>8497325.3200000003</v>
      </c>
      <c r="M25" s="98"/>
      <c r="N25" s="98"/>
      <c r="O25" s="37">
        <f>G25-L25</f>
        <v>222.27</v>
      </c>
      <c r="P25" s="143"/>
      <c r="Q25" s="97">
        <f>G25-L25</f>
        <v>222.27</v>
      </c>
      <c r="R25" s="97">
        <f t="shared" si="7"/>
        <v>0</v>
      </c>
      <c r="S25" s="113">
        <f t="shared" si="1"/>
        <v>73915.77</v>
      </c>
    </row>
    <row r="26" spans="1:19" ht="38.25" customHeight="1" x14ac:dyDescent="0.4">
      <c r="A26" s="60" t="s">
        <v>87</v>
      </c>
      <c r="B26" s="116" t="s">
        <v>11</v>
      </c>
      <c r="C26" s="16" t="e">
        <f>#REF!</f>
        <v>#REF!</v>
      </c>
      <c r="D26" s="16" t="e">
        <f>#REF!</f>
        <v>#REF!</v>
      </c>
      <c r="E26" s="16" t="e">
        <f>#REF!</f>
        <v>#REF!</v>
      </c>
      <c r="F26" s="16">
        <f>42055.11-F27</f>
        <v>38897.910000000003</v>
      </c>
      <c r="G26" s="16">
        <f>44240.11-G27</f>
        <v>41082.910000000003</v>
      </c>
      <c r="H26" s="16">
        <f>J26</f>
        <v>32491.29</v>
      </c>
      <c r="I26" s="38">
        <f t="shared" ref="I26:I27" si="15">H26/G26</f>
        <v>0.79</v>
      </c>
      <c r="J26" s="16">
        <f>32643.1-J27</f>
        <v>32491.29</v>
      </c>
      <c r="K26" s="38">
        <f t="shared" ref="K26:K27" si="16">J26/G26</f>
        <v>0.79</v>
      </c>
      <c r="L26" s="16">
        <f>35999.58+4861.01</f>
        <v>40860.589999999997</v>
      </c>
      <c r="M26" s="18"/>
      <c r="N26" s="18"/>
      <c r="O26" s="16">
        <f>G26-L26</f>
        <v>222.32</v>
      </c>
      <c r="P26" s="143"/>
      <c r="Q26" s="97">
        <f t="shared" si="6"/>
        <v>222.32</v>
      </c>
      <c r="R26" s="97">
        <f t="shared" si="7"/>
        <v>0</v>
      </c>
      <c r="S26" s="113">
        <f t="shared" si="1"/>
        <v>0</v>
      </c>
    </row>
    <row r="27" spans="1:19" ht="49.5" customHeight="1" x14ac:dyDescent="0.4">
      <c r="A27" s="60"/>
      <c r="B27" s="116" t="s">
        <v>13</v>
      </c>
      <c r="C27" s="16" t="e">
        <f>#REF!</f>
        <v>#REF!</v>
      </c>
      <c r="D27" s="16" t="e">
        <f>#REF!</f>
        <v>#REF!</v>
      </c>
      <c r="E27" s="16" t="e">
        <f>#REF!</f>
        <v>#REF!</v>
      </c>
      <c r="F27" s="16">
        <v>3157.2</v>
      </c>
      <c r="G27" s="16">
        <v>3157.2</v>
      </c>
      <c r="H27" s="16">
        <f>J27</f>
        <v>151.81</v>
      </c>
      <c r="I27" s="38">
        <f t="shared" si="15"/>
        <v>0.05</v>
      </c>
      <c r="J27" s="16">
        <v>151.81</v>
      </c>
      <c r="K27" s="38">
        <f t="shared" si="16"/>
        <v>0.05</v>
      </c>
      <c r="L27" s="16">
        <v>3157.2</v>
      </c>
      <c r="M27" s="18"/>
      <c r="N27" s="18"/>
      <c r="O27" s="37">
        <f>G27-L27</f>
        <v>0</v>
      </c>
      <c r="P27" s="143"/>
      <c r="Q27" s="97">
        <f t="shared" si="6"/>
        <v>0</v>
      </c>
      <c r="R27" s="97">
        <f t="shared" si="7"/>
        <v>0</v>
      </c>
      <c r="S27" s="113">
        <f t="shared" si="1"/>
        <v>0</v>
      </c>
    </row>
    <row r="28" spans="1:19" ht="40.5" customHeight="1" x14ac:dyDescent="0.4">
      <c r="A28" s="60"/>
      <c r="B28" s="116" t="s">
        <v>5</v>
      </c>
      <c r="C28" s="16"/>
      <c r="D28" s="16"/>
      <c r="E28" s="16"/>
      <c r="F28" s="16"/>
      <c r="G28" s="16"/>
      <c r="H28" s="20"/>
      <c r="I28" s="21"/>
      <c r="J28" s="20"/>
      <c r="K28" s="21"/>
      <c r="L28" s="16"/>
      <c r="M28" s="18"/>
      <c r="N28" s="18"/>
      <c r="O28" s="61"/>
      <c r="P28" s="143"/>
      <c r="Q28" s="97">
        <f t="shared" si="6"/>
        <v>0</v>
      </c>
      <c r="R28" s="97">
        <f t="shared" si="7"/>
        <v>0</v>
      </c>
      <c r="S28" s="113">
        <f t="shared" si="1"/>
        <v>0</v>
      </c>
    </row>
    <row r="29" spans="1:19" ht="408" customHeight="1" x14ac:dyDescent="0.4">
      <c r="A29" s="155" t="s">
        <v>15</v>
      </c>
      <c r="B29" s="158" t="s">
        <v>94</v>
      </c>
      <c r="C29" s="15" t="e">
        <f>SUM(C31:C35)</f>
        <v>#REF!</v>
      </c>
      <c r="D29" s="15" t="e">
        <f>SUM(D31:D35)</f>
        <v>#REF!</v>
      </c>
      <c r="E29" s="15" t="e">
        <f>SUM(E31:E35)</f>
        <v>#REF!</v>
      </c>
      <c r="F29" s="134">
        <f>F31+F32+F33+F34+F35</f>
        <v>382951.12</v>
      </c>
      <c r="G29" s="134">
        <f t="shared" ref="G29:O29" si="17">G31+G32+G33+G34+G35</f>
        <v>388778.72</v>
      </c>
      <c r="H29" s="134">
        <f>H31+H32+H33+H34+H35</f>
        <v>351475.52</v>
      </c>
      <c r="I29" s="136">
        <f t="shared" ref="I29:I33" si="18">H29/G29</f>
        <v>0.9</v>
      </c>
      <c r="J29" s="134">
        <f>J31+J32+J33+J34+J35</f>
        <v>290800.90999999997</v>
      </c>
      <c r="K29" s="136">
        <f t="shared" ref="K29:K32" si="19">J29/G29</f>
        <v>0.75</v>
      </c>
      <c r="L29" s="134">
        <f t="shared" si="17"/>
        <v>388755.05</v>
      </c>
      <c r="M29" s="15">
        <f t="shared" si="17"/>
        <v>0</v>
      </c>
      <c r="N29" s="15">
        <f t="shared" si="17"/>
        <v>0</v>
      </c>
      <c r="O29" s="134">
        <f t="shared" si="17"/>
        <v>23.67</v>
      </c>
      <c r="P29" s="127" t="s">
        <v>120</v>
      </c>
      <c r="Q29" s="97">
        <f t="shared" si="6"/>
        <v>23.67</v>
      </c>
      <c r="R29" s="97">
        <f t="shared" si="7"/>
        <v>0</v>
      </c>
      <c r="S29" s="113">
        <f t="shared" si="1"/>
        <v>60674.61</v>
      </c>
    </row>
    <row r="30" spans="1:19" ht="231" customHeight="1" x14ac:dyDescent="0.4">
      <c r="A30" s="157"/>
      <c r="B30" s="160"/>
      <c r="C30" s="15"/>
      <c r="D30" s="15"/>
      <c r="E30" s="15"/>
      <c r="F30" s="135"/>
      <c r="G30" s="135"/>
      <c r="H30" s="135"/>
      <c r="I30" s="137"/>
      <c r="J30" s="135"/>
      <c r="K30" s="137"/>
      <c r="L30" s="135"/>
      <c r="M30" s="15"/>
      <c r="N30" s="15"/>
      <c r="O30" s="135"/>
      <c r="P30" s="127"/>
      <c r="Q30" s="97">
        <f t="shared" si="6"/>
        <v>0</v>
      </c>
      <c r="R30" s="97">
        <f t="shared" si="7"/>
        <v>0</v>
      </c>
      <c r="S30" s="113">
        <f t="shared" si="1"/>
        <v>0</v>
      </c>
    </row>
    <row r="31" spans="1:19" ht="78.75" customHeight="1" x14ac:dyDescent="0.4">
      <c r="A31" s="58"/>
      <c r="B31" s="116" t="s">
        <v>4</v>
      </c>
      <c r="C31" s="16" t="e">
        <f>#REF!</f>
        <v>#REF!</v>
      </c>
      <c r="D31" s="16" t="e">
        <f>#REF!</f>
        <v>#REF!</v>
      </c>
      <c r="E31" s="16" t="e">
        <f>#REF!</f>
        <v>#REF!</v>
      </c>
      <c r="F31" s="16"/>
      <c r="G31" s="16"/>
      <c r="H31" s="16"/>
      <c r="I31" s="18"/>
      <c r="J31" s="16"/>
      <c r="K31" s="18"/>
      <c r="L31" s="16"/>
      <c r="M31" s="18"/>
      <c r="N31" s="18"/>
      <c r="O31" s="16"/>
      <c r="P31" s="127"/>
      <c r="Q31" s="97">
        <f t="shared" si="6"/>
        <v>0</v>
      </c>
      <c r="R31" s="97">
        <f t="shared" si="7"/>
        <v>0</v>
      </c>
      <c r="S31" s="113">
        <f t="shared" si="1"/>
        <v>0</v>
      </c>
    </row>
    <row r="32" spans="1:19" ht="44.25" customHeight="1" x14ac:dyDescent="0.4">
      <c r="A32" s="58"/>
      <c r="B32" s="116" t="s">
        <v>89</v>
      </c>
      <c r="C32" s="16"/>
      <c r="D32" s="16"/>
      <c r="E32" s="16"/>
      <c r="F32" s="16">
        <f>325805.69+19902.6</f>
        <v>345708.29</v>
      </c>
      <c r="G32" s="16">
        <v>351535.89</v>
      </c>
      <c r="H32" s="16">
        <v>328490.75</v>
      </c>
      <c r="I32" s="38">
        <f t="shared" si="18"/>
        <v>0.93</v>
      </c>
      <c r="J32" s="16">
        <v>267816.14</v>
      </c>
      <c r="K32" s="38">
        <f t="shared" si="19"/>
        <v>0.76</v>
      </c>
      <c r="L32" s="37">
        <f>178329.6+103523.88+65955.09+3725.67</f>
        <v>351534.24</v>
      </c>
      <c r="M32" s="38"/>
      <c r="N32" s="38"/>
      <c r="O32" s="79">
        <f>G32-L32</f>
        <v>1.65</v>
      </c>
      <c r="P32" s="127"/>
      <c r="Q32" s="97">
        <f t="shared" si="6"/>
        <v>1.65</v>
      </c>
      <c r="R32" s="97">
        <f t="shared" si="7"/>
        <v>0</v>
      </c>
      <c r="S32" s="113">
        <f t="shared" si="1"/>
        <v>60674.61</v>
      </c>
    </row>
    <row r="33" spans="1:19" ht="42" customHeight="1" x14ac:dyDescent="0.4">
      <c r="A33" s="58"/>
      <c r="B33" s="116" t="s">
        <v>11</v>
      </c>
      <c r="C33" s="16"/>
      <c r="D33" s="16"/>
      <c r="E33" s="16"/>
      <c r="F33" s="16">
        <f>37242.83-F34</f>
        <v>19330.919999999998</v>
      </c>
      <c r="G33" s="16">
        <f>37242.83-G34</f>
        <v>19330.919999999998</v>
      </c>
      <c r="H33" s="16">
        <f>J33</f>
        <v>18475.52</v>
      </c>
      <c r="I33" s="38">
        <f t="shared" si="18"/>
        <v>0.96</v>
      </c>
      <c r="J33" s="16">
        <f>22984.77-J34</f>
        <v>18475.52</v>
      </c>
      <c r="K33" s="38">
        <f>J33/G33</f>
        <v>0.96</v>
      </c>
      <c r="L33" s="37">
        <f>3565.66+15743.24</f>
        <v>19308.900000000001</v>
      </c>
      <c r="M33" s="38"/>
      <c r="N33" s="38"/>
      <c r="O33" s="37">
        <f>G33-L33</f>
        <v>22.02</v>
      </c>
      <c r="P33" s="127"/>
      <c r="Q33" s="97">
        <f t="shared" si="6"/>
        <v>22.02</v>
      </c>
      <c r="R33" s="97">
        <f t="shared" si="7"/>
        <v>0</v>
      </c>
      <c r="S33" s="113">
        <f t="shared" si="1"/>
        <v>0</v>
      </c>
    </row>
    <row r="34" spans="1:19" ht="44.25" customHeight="1" x14ac:dyDescent="0.4">
      <c r="A34" s="58"/>
      <c r="B34" s="116" t="s">
        <v>13</v>
      </c>
      <c r="C34" s="16"/>
      <c r="D34" s="16"/>
      <c r="E34" s="16"/>
      <c r="F34" s="16">
        <v>17911.91</v>
      </c>
      <c r="G34" s="16">
        <v>17911.91</v>
      </c>
      <c r="H34" s="16">
        <v>4509.25</v>
      </c>
      <c r="I34" s="38">
        <f>H34/G34</f>
        <v>0.25</v>
      </c>
      <c r="J34" s="16">
        <v>4509.25</v>
      </c>
      <c r="K34" s="38">
        <f>J34/G34</f>
        <v>0.25</v>
      </c>
      <c r="L34" s="16">
        <v>17911.91</v>
      </c>
      <c r="M34" s="18"/>
      <c r="N34" s="18"/>
      <c r="O34" s="37">
        <f>G34-L34</f>
        <v>0</v>
      </c>
      <c r="P34" s="127"/>
      <c r="Q34" s="97">
        <f t="shared" si="6"/>
        <v>0</v>
      </c>
      <c r="R34" s="97">
        <f t="shared" si="7"/>
        <v>0</v>
      </c>
      <c r="S34" s="113">
        <f t="shared" si="1"/>
        <v>0</v>
      </c>
    </row>
    <row r="35" spans="1:19" ht="33.75" customHeight="1" x14ac:dyDescent="0.4">
      <c r="A35" s="58"/>
      <c r="B35" s="116" t="s">
        <v>5</v>
      </c>
      <c r="C35" s="16" t="e">
        <f>#REF!</f>
        <v>#REF!</v>
      </c>
      <c r="D35" s="16" t="e">
        <f>#REF!</f>
        <v>#REF!</v>
      </c>
      <c r="E35" s="16" t="e">
        <f>#REF!</f>
        <v>#REF!</v>
      </c>
      <c r="F35" s="16"/>
      <c r="G35" s="16"/>
      <c r="H35" s="16"/>
      <c r="I35" s="18"/>
      <c r="J35" s="16"/>
      <c r="K35" s="18"/>
      <c r="L35" s="16"/>
      <c r="M35" s="18"/>
      <c r="N35" s="18"/>
      <c r="O35" s="61"/>
      <c r="P35" s="127"/>
      <c r="Q35" s="97">
        <f t="shared" si="6"/>
        <v>0</v>
      </c>
      <c r="R35" s="97">
        <f t="shared" si="7"/>
        <v>0</v>
      </c>
      <c r="S35" s="113">
        <f t="shared" si="1"/>
        <v>0</v>
      </c>
    </row>
    <row r="36" spans="1:19" s="43" customFormat="1" ht="96" customHeight="1" x14ac:dyDescent="0.25">
      <c r="A36" s="119" t="s">
        <v>38</v>
      </c>
      <c r="B36" s="75" t="s">
        <v>45</v>
      </c>
      <c r="C36" s="15" t="e">
        <f>#REF!+#REF!+#REF!+#REF!+#REF!</f>
        <v>#REF!</v>
      </c>
      <c r="D36" s="15" t="e">
        <f>#REF!+#REF!+#REF!+#REF!+#REF!</f>
        <v>#REF!</v>
      </c>
      <c r="E36" s="15" t="e">
        <f>#REF!+#REF!+#REF!+#REF!+#REF!</f>
        <v>#REF!</v>
      </c>
      <c r="F36" s="15"/>
      <c r="G36" s="15"/>
      <c r="H36" s="22"/>
      <c r="I36" s="17"/>
      <c r="J36" s="15"/>
      <c r="K36" s="31"/>
      <c r="L36" s="17"/>
      <c r="M36" s="17"/>
      <c r="N36" s="17"/>
      <c r="O36" s="17"/>
      <c r="P36" s="116" t="s">
        <v>59</v>
      </c>
      <c r="Q36" s="97">
        <f t="shared" si="6"/>
        <v>0</v>
      </c>
      <c r="R36" s="97">
        <f t="shared" si="7"/>
        <v>0</v>
      </c>
      <c r="S36" s="112">
        <f t="shared" si="1"/>
        <v>0</v>
      </c>
    </row>
    <row r="37" spans="1:19" ht="377.25" customHeight="1" x14ac:dyDescent="0.4">
      <c r="A37" s="122" t="s">
        <v>1</v>
      </c>
      <c r="B37" s="76" t="s">
        <v>95</v>
      </c>
      <c r="C37" s="15" t="e">
        <f>SUM(C38:C42)</f>
        <v>#REF!</v>
      </c>
      <c r="D37" s="15" t="e">
        <f>SUM(D38:D42)</f>
        <v>#REF!</v>
      </c>
      <c r="E37" s="15" t="e">
        <f>SUM(E38:E42)</f>
        <v>#REF!</v>
      </c>
      <c r="F37" s="15">
        <f>F38+F39+F40</f>
        <v>174680.49</v>
      </c>
      <c r="G37" s="15">
        <f t="shared" ref="G37:H37" si="20">G38+G39+G40</f>
        <v>181769.89</v>
      </c>
      <c r="H37" s="15">
        <f t="shared" si="20"/>
        <v>157855.09</v>
      </c>
      <c r="I37" s="39">
        <f t="shared" ref="I37" si="21">H37/G37</f>
        <v>0.87</v>
      </c>
      <c r="J37" s="125">
        <f>J38+J39+J40</f>
        <v>157829.45000000001</v>
      </c>
      <c r="K37" s="39">
        <f t="shared" ref="K37" si="22">J37/G37</f>
        <v>0.87</v>
      </c>
      <c r="L37" s="15">
        <f>L38+L39+L40</f>
        <v>179755.36</v>
      </c>
      <c r="M37" s="15">
        <f t="shared" ref="M37:O37" si="23">M38+M39+M40</f>
        <v>0</v>
      </c>
      <c r="N37" s="15">
        <f t="shared" si="23"/>
        <v>0</v>
      </c>
      <c r="O37" s="125">
        <f t="shared" si="23"/>
        <v>2014.53</v>
      </c>
      <c r="P37" s="131" t="s">
        <v>123</v>
      </c>
      <c r="Q37" s="97">
        <f t="shared" si="6"/>
        <v>2014.53</v>
      </c>
      <c r="R37" s="97">
        <f t="shared" si="7"/>
        <v>0</v>
      </c>
      <c r="S37" s="113">
        <f t="shared" si="1"/>
        <v>25.64</v>
      </c>
    </row>
    <row r="38" spans="1:19" ht="87" customHeight="1" x14ac:dyDescent="0.4">
      <c r="A38" s="58"/>
      <c r="B38" s="116" t="s">
        <v>4</v>
      </c>
      <c r="C38" s="16" t="e">
        <f>#REF!</f>
        <v>#REF!</v>
      </c>
      <c r="D38" s="16" t="e">
        <f>#REF!</f>
        <v>#REF!</v>
      </c>
      <c r="E38" s="16" t="e">
        <f>#REF!</f>
        <v>#REF!</v>
      </c>
      <c r="F38" s="16">
        <v>85.8</v>
      </c>
      <c r="G38" s="16">
        <v>85.8</v>
      </c>
      <c r="H38" s="29">
        <v>85.8</v>
      </c>
      <c r="I38" s="38">
        <f t="shared" ref="I38:I40" si="24">H38/G38</f>
        <v>1</v>
      </c>
      <c r="J38" s="29">
        <v>85.8</v>
      </c>
      <c r="K38" s="30">
        <f t="shared" ref="K38:K40" si="25">J38/G38</f>
        <v>1</v>
      </c>
      <c r="L38" s="16">
        <v>85.8</v>
      </c>
      <c r="M38" s="18"/>
      <c r="N38" s="18"/>
      <c r="O38" s="37">
        <f>G38-L38</f>
        <v>0</v>
      </c>
      <c r="P38" s="131"/>
      <c r="Q38" s="97">
        <f t="shared" si="6"/>
        <v>0</v>
      </c>
      <c r="R38" s="97">
        <f t="shared" si="7"/>
        <v>0</v>
      </c>
      <c r="S38" s="113">
        <f t="shared" si="1"/>
        <v>0</v>
      </c>
    </row>
    <row r="39" spans="1:19" ht="75.75" customHeight="1" x14ac:dyDescent="0.4">
      <c r="A39" s="58"/>
      <c r="B39" s="116" t="s">
        <v>89</v>
      </c>
      <c r="C39" s="16"/>
      <c r="D39" s="16"/>
      <c r="E39" s="16"/>
      <c r="F39" s="16">
        <v>165144.4</v>
      </c>
      <c r="G39" s="16">
        <v>172233.8</v>
      </c>
      <c r="H39" s="29">
        <v>149514.73000000001</v>
      </c>
      <c r="I39" s="38">
        <f t="shared" si="24"/>
        <v>0.87</v>
      </c>
      <c r="J39" s="29">
        <v>149489.09</v>
      </c>
      <c r="K39" s="30">
        <f t="shared" si="25"/>
        <v>0.87</v>
      </c>
      <c r="L39" s="16">
        <f>165512.59+4617.5+189.9</f>
        <v>170319.99</v>
      </c>
      <c r="M39" s="18"/>
      <c r="N39" s="18"/>
      <c r="O39" s="37">
        <f>G39-L39</f>
        <v>1913.81</v>
      </c>
      <c r="P39" s="131"/>
      <c r="Q39" s="97">
        <f t="shared" si="6"/>
        <v>1913.81</v>
      </c>
      <c r="R39" s="97">
        <f t="shared" si="7"/>
        <v>0</v>
      </c>
      <c r="S39" s="113">
        <f t="shared" si="1"/>
        <v>25.64</v>
      </c>
    </row>
    <row r="40" spans="1:19" s="92" customFormat="1" ht="89.25" customHeight="1" x14ac:dyDescent="0.4">
      <c r="A40" s="57"/>
      <c r="B40" s="118" t="s">
        <v>11</v>
      </c>
      <c r="C40" s="29"/>
      <c r="D40" s="29"/>
      <c r="E40" s="29"/>
      <c r="F40" s="29">
        <v>9450.2900000000009</v>
      </c>
      <c r="G40" s="29">
        <v>9450.2900000000009</v>
      </c>
      <c r="H40" s="29">
        <v>8254.56</v>
      </c>
      <c r="I40" s="91">
        <f t="shared" si="24"/>
        <v>0.87</v>
      </c>
      <c r="J40" s="29">
        <v>8254.56</v>
      </c>
      <c r="K40" s="30">
        <f t="shared" si="25"/>
        <v>0.87</v>
      </c>
      <c r="L40" s="29">
        <f>8711.19+638.38</f>
        <v>9349.57</v>
      </c>
      <c r="M40" s="30"/>
      <c r="N40" s="30"/>
      <c r="O40" s="79">
        <f t="shared" ref="O40" si="26">G40-L40</f>
        <v>100.72</v>
      </c>
      <c r="P40" s="131"/>
      <c r="Q40" s="97">
        <f t="shared" si="6"/>
        <v>100.72</v>
      </c>
      <c r="R40" s="97">
        <f t="shared" si="7"/>
        <v>0</v>
      </c>
      <c r="S40" s="114">
        <f t="shared" si="1"/>
        <v>0</v>
      </c>
    </row>
    <row r="41" spans="1:19" ht="59.25" customHeight="1" x14ac:dyDescent="0.4">
      <c r="A41" s="58"/>
      <c r="B41" s="116" t="s">
        <v>13</v>
      </c>
      <c r="C41" s="16" t="e">
        <f>#REF!</f>
        <v>#REF!</v>
      </c>
      <c r="D41" s="16" t="e">
        <f>#REF!</f>
        <v>#REF!</v>
      </c>
      <c r="E41" s="16" t="e">
        <f>#REF!</f>
        <v>#REF!</v>
      </c>
      <c r="F41" s="16"/>
      <c r="G41" s="16"/>
      <c r="H41" s="16"/>
      <c r="I41" s="23"/>
      <c r="J41" s="29"/>
      <c r="K41" s="62"/>
      <c r="L41" s="29"/>
      <c r="M41" s="18"/>
      <c r="N41" s="18"/>
      <c r="O41" s="16"/>
      <c r="P41" s="131"/>
      <c r="Q41" s="97">
        <f t="shared" ref="Q41:Q68" si="27">G41-L41</f>
        <v>0</v>
      </c>
      <c r="R41" s="97">
        <f t="shared" si="7"/>
        <v>0</v>
      </c>
      <c r="S41" s="113">
        <f t="shared" ref="S41:S72" si="28">H41-J41</f>
        <v>0</v>
      </c>
    </row>
    <row r="42" spans="1:19" ht="42" customHeight="1" x14ac:dyDescent="0.4">
      <c r="A42" s="58"/>
      <c r="B42" s="116" t="s">
        <v>5</v>
      </c>
      <c r="C42" s="16" t="e">
        <f>#REF!</f>
        <v>#REF!</v>
      </c>
      <c r="D42" s="16" t="e">
        <f>#REF!</f>
        <v>#REF!</v>
      </c>
      <c r="E42" s="16" t="e">
        <f>#REF!</f>
        <v>#REF!</v>
      </c>
      <c r="F42" s="16"/>
      <c r="G42" s="16"/>
      <c r="H42" s="16"/>
      <c r="I42" s="18"/>
      <c r="J42" s="29"/>
      <c r="K42" s="30"/>
      <c r="L42" s="29"/>
      <c r="M42" s="18"/>
      <c r="N42" s="18"/>
      <c r="O42" s="16"/>
      <c r="P42" s="131"/>
      <c r="Q42" s="97">
        <f t="shared" si="27"/>
        <v>0</v>
      </c>
      <c r="R42" s="97">
        <f t="shared" si="7"/>
        <v>0</v>
      </c>
      <c r="S42" s="113">
        <f t="shared" si="28"/>
        <v>0</v>
      </c>
    </row>
    <row r="43" spans="1:19" s="43" customFormat="1" ht="231" customHeight="1" x14ac:dyDescent="0.25">
      <c r="A43" s="119" t="s">
        <v>10</v>
      </c>
      <c r="B43" s="75" t="s">
        <v>104</v>
      </c>
      <c r="C43" s="15" t="e">
        <f>C44+C47+C48+#REF!+#REF!</f>
        <v>#REF!</v>
      </c>
      <c r="D43" s="15" t="e">
        <f>D44+D47+D48+#REF!+#REF!</f>
        <v>#REF!</v>
      </c>
      <c r="E43" s="15" t="e">
        <f>E44+E47+E48+#REF!+#REF!</f>
        <v>#REF!</v>
      </c>
      <c r="F43" s="15">
        <f>F44+F45+F46+F47</f>
        <v>277357.87</v>
      </c>
      <c r="G43" s="15">
        <f>G44+G45+G46+G47</f>
        <v>217357.87</v>
      </c>
      <c r="H43" s="15">
        <f>H44+H45+H46+H47+H48</f>
        <v>66698.929999999993</v>
      </c>
      <c r="I43" s="17">
        <f>H43/G43</f>
        <v>0.31</v>
      </c>
      <c r="J43" s="125">
        <f>SUM(J44:J48)</f>
        <v>66176.009999999995</v>
      </c>
      <c r="K43" s="28">
        <f>J43/G43</f>
        <v>0.3</v>
      </c>
      <c r="L43" s="125">
        <f>L44+L45+L46+L47</f>
        <v>173710.95</v>
      </c>
      <c r="M43" s="17"/>
      <c r="N43" s="17"/>
      <c r="O43" s="15">
        <f>G43-L43</f>
        <v>43646.92</v>
      </c>
      <c r="P43" s="140" t="s">
        <v>117</v>
      </c>
      <c r="Q43" s="97">
        <f t="shared" si="27"/>
        <v>43646.92</v>
      </c>
      <c r="R43" s="97">
        <f t="shared" si="7"/>
        <v>0</v>
      </c>
      <c r="S43" s="112">
        <f t="shared" si="28"/>
        <v>522.91999999999996</v>
      </c>
    </row>
    <row r="44" spans="1:19" s="41" customFormat="1" ht="47.25" customHeight="1" x14ac:dyDescent="0.25">
      <c r="A44" s="63"/>
      <c r="B44" s="116" t="s">
        <v>4</v>
      </c>
      <c r="C44" s="16" t="e">
        <f>#REF!+#REF!</f>
        <v>#REF!</v>
      </c>
      <c r="D44" s="16" t="e">
        <f>#REF!+#REF!</f>
        <v>#REF!</v>
      </c>
      <c r="E44" s="16" t="e">
        <f>#REF!+#REF!</f>
        <v>#REF!</v>
      </c>
      <c r="F44" s="16"/>
      <c r="G44" s="16"/>
      <c r="H44" s="29"/>
      <c r="I44" s="30"/>
      <c r="J44" s="29"/>
      <c r="K44" s="30"/>
      <c r="L44" s="16"/>
      <c r="M44" s="18"/>
      <c r="N44" s="18"/>
      <c r="O44" s="77">
        <f t="shared" ref="O44" si="29">G44-L44</f>
        <v>0</v>
      </c>
      <c r="P44" s="127"/>
      <c r="Q44" s="97">
        <f t="shared" si="27"/>
        <v>0</v>
      </c>
      <c r="R44" s="97">
        <f t="shared" si="7"/>
        <v>0</v>
      </c>
      <c r="S44" s="112">
        <f t="shared" si="28"/>
        <v>0</v>
      </c>
    </row>
    <row r="45" spans="1:19" s="41" customFormat="1" ht="48.75" customHeight="1" x14ac:dyDescent="0.25">
      <c r="A45" s="63"/>
      <c r="B45" s="116" t="s">
        <v>89</v>
      </c>
      <c r="C45" s="16"/>
      <c r="D45" s="16"/>
      <c r="E45" s="16"/>
      <c r="F45" s="16">
        <v>250059.8</v>
      </c>
      <c r="G45" s="16">
        <f>189407.3+652.5</f>
        <v>190059.8</v>
      </c>
      <c r="H45" s="29">
        <v>60428.75</v>
      </c>
      <c r="I45" s="30">
        <f>H45/G45</f>
        <v>0.32</v>
      </c>
      <c r="J45" s="79">
        <f>59776.25+129.58</f>
        <v>59905.83</v>
      </c>
      <c r="K45" s="30">
        <f>J45/G45</f>
        <v>0.32</v>
      </c>
      <c r="L45" s="16">
        <f>652.5+157634.6161</f>
        <v>158287.12</v>
      </c>
      <c r="M45" s="16"/>
      <c r="N45" s="16"/>
      <c r="O45" s="15">
        <f>G45-L45</f>
        <v>31772.68</v>
      </c>
      <c r="P45" s="127"/>
      <c r="Q45" s="97">
        <f t="shared" si="27"/>
        <v>31772.68</v>
      </c>
      <c r="R45" s="97">
        <f t="shared" si="7"/>
        <v>0</v>
      </c>
      <c r="S45" s="112">
        <f t="shared" si="28"/>
        <v>522.91999999999996</v>
      </c>
    </row>
    <row r="46" spans="1:19" s="41" customFormat="1" ht="48.75" customHeight="1" x14ac:dyDescent="0.25">
      <c r="A46" s="63"/>
      <c r="B46" s="116" t="s">
        <v>11</v>
      </c>
      <c r="C46" s="16"/>
      <c r="D46" s="16"/>
      <c r="E46" s="16"/>
      <c r="F46" s="29">
        <v>13126.7</v>
      </c>
      <c r="G46" s="16">
        <v>13126.7</v>
      </c>
      <c r="H46" s="29">
        <v>6270.18</v>
      </c>
      <c r="I46" s="30">
        <f>H46/G46</f>
        <v>0.48</v>
      </c>
      <c r="J46" s="29">
        <v>6270.18</v>
      </c>
      <c r="K46" s="29">
        <f>J46/G46</f>
        <v>0.48</v>
      </c>
      <c r="L46" s="16">
        <v>8296.56</v>
      </c>
      <c r="M46" s="16"/>
      <c r="N46" s="16"/>
      <c r="O46" s="15">
        <f>G46-L46</f>
        <v>4830.1400000000003</v>
      </c>
      <c r="P46" s="127"/>
      <c r="Q46" s="97">
        <f t="shared" si="27"/>
        <v>4830.1400000000003</v>
      </c>
      <c r="R46" s="97">
        <f t="shared" si="7"/>
        <v>0</v>
      </c>
      <c r="S46" s="112">
        <f t="shared" si="28"/>
        <v>0</v>
      </c>
    </row>
    <row r="47" spans="1:19" s="41" customFormat="1" ht="48.75" customHeight="1" x14ac:dyDescent="0.25">
      <c r="A47" s="63"/>
      <c r="B47" s="116" t="s">
        <v>13</v>
      </c>
      <c r="C47" s="16"/>
      <c r="D47" s="16"/>
      <c r="E47" s="16"/>
      <c r="F47" s="16">
        <v>14171.37</v>
      </c>
      <c r="G47" s="16">
        <v>14171.37</v>
      </c>
      <c r="H47" s="29"/>
      <c r="I47" s="30">
        <f>H47/G47</f>
        <v>0</v>
      </c>
      <c r="J47" s="78"/>
      <c r="K47" s="30"/>
      <c r="L47" s="16">
        <v>7127.27</v>
      </c>
      <c r="M47" s="18"/>
      <c r="N47" s="18"/>
      <c r="O47" s="15">
        <f>G47-L47</f>
        <v>7044.1</v>
      </c>
      <c r="P47" s="127"/>
      <c r="Q47" s="97">
        <f t="shared" si="27"/>
        <v>7044.1</v>
      </c>
      <c r="R47" s="97">
        <f t="shared" si="7"/>
        <v>0</v>
      </c>
      <c r="S47" s="112">
        <f t="shared" si="28"/>
        <v>0</v>
      </c>
    </row>
    <row r="48" spans="1:19" s="41" customFormat="1" ht="48.75" customHeight="1" x14ac:dyDescent="0.25">
      <c r="A48" s="63"/>
      <c r="B48" s="116" t="s">
        <v>5</v>
      </c>
      <c r="C48" s="16"/>
      <c r="D48" s="16"/>
      <c r="E48" s="16"/>
      <c r="F48" s="16"/>
      <c r="G48" s="16"/>
      <c r="H48" s="29"/>
      <c r="I48" s="30"/>
      <c r="J48" s="29"/>
      <c r="K48" s="30"/>
      <c r="L48" s="16"/>
      <c r="M48" s="18"/>
      <c r="N48" s="18"/>
      <c r="O48" s="18"/>
      <c r="P48" s="127"/>
      <c r="Q48" s="97">
        <f t="shared" si="27"/>
        <v>0</v>
      </c>
      <c r="R48" s="97">
        <f t="shared" si="7"/>
        <v>0</v>
      </c>
      <c r="S48" s="112">
        <f t="shared" si="28"/>
        <v>0</v>
      </c>
    </row>
    <row r="49" spans="1:19" s="41" customFormat="1" ht="276.75" customHeight="1" x14ac:dyDescent="0.25">
      <c r="A49" s="119" t="s">
        <v>39</v>
      </c>
      <c r="B49" s="75" t="s">
        <v>96</v>
      </c>
      <c r="C49" s="15" t="e">
        <f>SUM(C54:C54)</f>
        <v>#REF!</v>
      </c>
      <c r="D49" s="15" t="e">
        <f>SUM(D54:D54)</f>
        <v>#REF!</v>
      </c>
      <c r="E49" s="15" t="e">
        <f>SUM(E54:E54)</f>
        <v>#REF!</v>
      </c>
      <c r="F49" s="15">
        <f>F50+F51+F52+F53</f>
        <v>8804.68</v>
      </c>
      <c r="G49" s="15">
        <f t="shared" ref="G49:H49" si="30">G50+G51+G52+G53</f>
        <v>8452.31</v>
      </c>
      <c r="H49" s="15">
        <f t="shared" si="30"/>
        <v>6410.15</v>
      </c>
      <c r="I49" s="39">
        <f t="shared" ref="I49:I51" si="31">H49/G49</f>
        <v>0.76</v>
      </c>
      <c r="J49" s="15">
        <f>J50+J51+J52+J53</f>
        <v>6319.9</v>
      </c>
      <c r="K49" s="39">
        <f t="shared" ref="K49:K51" si="32">J49/G49</f>
        <v>0.75</v>
      </c>
      <c r="L49" s="15">
        <f>L50+L51+L52+L53</f>
        <v>8437.0400000000009</v>
      </c>
      <c r="M49" s="15"/>
      <c r="N49" s="15"/>
      <c r="O49" s="15">
        <f>G49-L49</f>
        <v>15.27</v>
      </c>
      <c r="P49" s="140" t="s">
        <v>118</v>
      </c>
      <c r="Q49" s="97">
        <f t="shared" si="27"/>
        <v>15.27</v>
      </c>
      <c r="R49" s="97">
        <f t="shared" si="7"/>
        <v>0</v>
      </c>
      <c r="S49" s="112">
        <f t="shared" si="28"/>
        <v>90.25</v>
      </c>
    </row>
    <row r="50" spans="1:19" s="41" customFormat="1" ht="36.75" customHeight="1" x14ac:dyDescent="0.25">
      <c r="A50" s="58"/>
      <c r="B50" s="116" t="s">
        <v>4</v>
      </c>
      <c r="C50" s="15"/>
      <c r="D50" s="15"/>
      <c r="E50" s="15"/>
      <c r="F50" s="15"/>
      <c r="G50" s="15"/>
      <c r="H50" s="15"/>
      <c r="I50" s="17"/>
      <c r="J50" s="15"/>
      <c r="K50" s="17"/>
      <c r="L50" s="15"/>
      <c r="M50" s="15"/>
      <c r="N50" s="15"/>
      <c r="O50" s="15">
        <f t="shared" ref="O50" si="33">G50-L50</f>
        <v>0</v>
      </c>
      <c r="P50" s="127"/>
      <c r="Q50" s="97">
        <f t="shared" si="27"/>
        <v>0</v>
      </c>
      <c r="R50" s="97">
        <f t="shared" si="7"/>
        <v>0</v>
      </c>
      <c r="S50" s="112">
        <f t="shared" si="28"/>
        <v>0</v>
      </c>
    </row>
    <row r="51" spans="1:19" s="41" customFormat="1" ht="36.75" customHeight="1" x14ac:dyDescent="0.25">
      <c r="A51" s="58"/>
      <c r="B51" s="116" t="s">
        <v>16</v>
      </c>
      <c r="C51" s="15"/>
      <c r="D51" s="15"/>
      <c r="E51" s="15"/>
      <c r="F51" s="37">
        <v>8804.68</v>
      </c>
      <c r="G51" s="37">
        <v>8452.31</v>
      </c>
      <c r="H51" s="37">
        <v>6410.15</v>
      </c>
      <c r="I51" s="38">
        <f t="shared" si="31"/>
        <v>0.76</v>
      </c>
      <c r="J51" s="37">
        <v>6319.9</v>
      </c>
      <c r="K51" s="38">
        <f t="shared" si="32"/>
        <v>0.75</v>
      </c>
      <c r="L51" s="15">
        <f>194.37+8024.6+218.07</f>
        <v>8437.0400000000009</v>
      </c>
      <c r="M51" s="15"/>
      <c r="N51" s="15"/>
      <c r="O51" s="15">
        <f>G51-L51</f>
        <v>15.27</v>
      </c>
      <c r="P51" s="127"/>
      <c r="Q51" s="97">
        <f t="shared" si="27"/>
        <v>15.27</v>
      </c>
      <c r="R51" s="97">
        <f t="shared" si="7"/>
        <v>0</v>
      </c>
      <c r="S51" s="112">
        <f t="shared" si="28"/>
        <v>90.25</v>
      </c>
    </row>
    <row r="52" spans="1:19" s="41" customFormat="1" ht="36.75" customHeight="1" x14ac:dyDescent="0.25">
      <c r="A52" s="58"/>
      <c r="B52" s="116" t="s">
        <v>11</v>
      </c>
      <c r="C52" s="15"/>
      <c r="D52" s="15"/>
      <c r="E52" s="15"/>
      <c r="F52" s="15"/>
      <c r="G52" s="15"/>
      <c r="H52" s="15"/>
      <c r="I52" s="17"/>
      <c r="J52" s="15"/>
      <c r="K52" s="17"/>
      <c r="L52" s="15"/>
      <c r="M52" s="15"/>
      <c r="N52" s="15"/>
      <c r="O52" s="15"/>
      <c r="P52" s="127"/>
      <c r="Q52" s="97">
        <f t="shared" si="27"/>
        <v>0</v>
      </c>
      <c r="R52" s="97">
        <f t="shared" si="7"/>
        <v>0</v>
      </c>
      <c r="S52" s="112">
        <f t="shared" si="28"/>
        <v>0</v>
      </c>
    </row>
    <row r="53" spans="1:19" s="41" customFormat="1" ht="36.75" customHeight="1" x14ac:dyDescent="0.25">
      <c r="A53" s="58"/>
      <c r="B53" s="116" t="s">
        <v>13</v>
      </c>
      <c r="C53" s="15"/>
      <c r="D53" s="15"/>
      <c r="E53" s="15"/>
      <c r="F53" s="15"/>
      <c r="G53" s="15"/>
      <c r="H53" s="15"/>
      <c r="I53" s="17"/>
      <c r="J53" s="15"/>
      <c r="K53" s="17"/>
      <c r="L53" s="15"/>
      <c r="M53" s="15"/>
      <c r="N53" s="15"/>
      <c r="O53" s="15"/>
      <c r="P53" s="127"/>
      <c r="Q53" s="97">
        <f t="shared" si="27"/>
        <v>0</v>
      </c>
      <c r="R53" s="97">
        <f t="shared" si="7"/>
        <v>0</v>
      </c>
      <c r="S53" s="112">
        <f t="shared" si="28"/>
        <v>0</v>
      </c>
    </row>
    <row r="54" spans="1:19" s="41" customFormat="1" ht="36.75" customHeight="1" x14ac:dyDescent="0.25">
      <c r="A54" s="58"/>
      <c r="B54" s="116" t="s">
        <v>5</v>
      </c>
      <c r="C54" s="16" t="e">
        <f>#REF!+#REF!</f>
        <v>#REF!</v>
      </c>
      <c r="D54" s="16" t="e">
        <f>#REF!+#REF!</f>
        <v>#REF!</v>
      </c>
      <c r="E54" s="16" t="e">
        <f>#REF!+#REF!</f>
        <v>#REF!</v>
      </c>
      <c r="F54" s="16"/>
      <c r="G54" s="16"/>
      <c r="H54" s="16"/>
      <c r="I54" s="18"/>
      <c r="J54" s="16"/>
      <c r="K54" s="18"/>
      <c r="L54" s="16"/>
      <c r="M54" s="16"/>
      <c r="N54" s="16"/>
      <c r="O54" s="15">
        <f>G54-L54</f>
        <v>0</v>
      </c>
      <c r="P54" s="127"/>
      <c r="Q54" s="97">
        <f t="shared" si="27"/>
        <v>0</v>
      </c>
      <c r="R54" s="97">
        <f t="shared" si="7"/>
        <v>0</v>
      </c>
      <c r="S54" s="112">
        <f t="shared" si="28"/>
        <v>0</v>
      </c>
    </row>
    <row r="55" spans="1:19" s="44" customFormat="1" ht="409.5" customHeight="1" x14ac:dyDescent="0.25">
      <c r="A55" s="119" t="s">
        <v>20</v>
      </c>
      <c r="B55" s="75" t="s">
        <v>91</v>
      </c>
      <c r="C55" s="15">
        <f>SUM(C56:C60)</f>
        <v>0</v>
      </c>
      <c r="D55" s="15">
        <f>SUM(D56:D60)</f>
        <v>0</v>
      </c>
      <c r="E55" s="15">
        <f>SUM(E56:E60)</f>
        <v>0</v>
      </c>
      <c r="F55" s="125">
        <f>F56+F57+F58+F59+F60</f>
        <v>13539.5</v>
      </c>
      <c r="G55" s="125">
        <f>G56+G57+G58+G59+G60</f>
        <v>13060.9</v>
      </c>
      <c r="H55" s="125">
        <f t="shared" ref="H55" si="34">H56+H57+H58+H59+H60</f>
        <v>9127.5300000000007</v>
      </c>
      <c r="I55" s="28">
        <f>H55/G55</f>
        <v>0.7</v>
      </c>
      <c r="J55" s="125">
        <f>J56+J57+J58+J59+J60</f>
        <v>9098.23</v>
      </c>
      <c r="K55" s="28">
        <f>J55/G55</f>
        <v>0.7</v>
      </c>
      <c r="L55" s="125">
        <f>L56+L57+L58+L59+L60</f>
        <v>12391.89</v>
      </c>
      <c r="M55" s="125">
        <f t="shared" ref="M55" si="35">M56+M57+M58+M59+M60</f>
        <v>0</v>
      </c>
      <c r="N55" s="125">
        <f t="shared" ref="N55" si="36">N56+N57+N58+N59+N60</f>
        <v>0</v>
      </c>
      <c r="O55" s="15">
        <f>O56+O57+O58+O59+O60</f>
        <v>669.01</v>
      </c>
      <c r="P55" s="140" t="s">
        <v>121</v>
      </c>
      <c r="Q55" s="97">
        <f t="shared" si="27"/>
        <v>669.01</v>
      </c>
      <c r="R55" s="97">
        <f t="shared" si="7"/>
        <v>0</v>
      </c>
      <c r="S55" s="112">
        <f t="shared" si="28"/>
        <v>29.3</v>
      </c>
    </row>
    <row r="56" spans="1:19" s="41" customFormat="1" ht="43.5" customHeight="1" x14ac:dyDescent="0.25">
      <c r="A56" s="119"/>
      <c r="B56" s="116" t="s">
        <v>4</v>
      </c>
      <c r="C56" s="16"/>
      <c r="D56" s="16"/>
      <c r="E56" s="16"/>
      <c r="F56" s="16">
        <v>722.8</v>
      </c>
      <c r="G56" s="16">
        <v>722.8</v>
      </c>
      <c r="H56" s="16">
        <v>462.16</v>
      </c>
      <c r="I56" s="38">
        <f t="shared" ref="I56:I58" si="37">H56/G56</f>
        <v>0.64</v>
      </c>
      <c r="J56" s="16">
        <v>462.16</v>
      </c>
      <c r="K56" s="18">
        <f>J56/G56</f>
        <v>0.64</v>
      </c>
      <c r="L56" s="16">
        <v>462.16</v>
      </c>
      <c r="M56" s="16"/>
      <c r="N56" s="16"/>
      <c r="O56" s="37">
        <f>G56-L56</f>
        <v>260.64</v>
      </c>
      <c r="P56" s="140"/>
      <c r="Q56" s="97">
        <f t="shared" si="27"/>
        <v>260.64</v>
      </c>
      <c r="R56" s="97">
        <f t="shared" si="7"/>
        <v>0</v>
      </c>
      <c r="S56" s="112">
        <f t="shared" si="28"/>
        <v>0</v>
      </c>
    </row>
    <row r="57" spans="1:19" s="41" customFormat="1" ht="58.5" customHeight="1" x14ac:dyDescent="0.25">
      <c r="A57" s="119"/>
      <c r="B57" s="116" t="s">
        <v>89</v>
      </c>
      <c r="C57" s="16"/>
      <c r="D57" s="16"/>
      <c r="E57" s="16"/>
      <c r="F57" s="16">
        <v>3492</v>
      </c>
      <c r="G57" s="16">
        <v>3013.4</v>
      </c>
      <c r="H57" s="16">
        <v>1092</v>
      </c>
      <c r="I57" s="38">
        <f t="shared" si="37"/>
        <v>0.36</v>
      </c>
      <c r="J57" s="16">
        <v>1062.7</v>
      </c>
      <c r="K57" s="38">
        <f t="shared" ref="K57:K58" si="38">J57/G57</f>
        <v>0.35</v>
      </c>
      <c r="L57" s="16">
        <f>1092+1921.4</f>
        <v>3013.4</v>
      </c>
      <c r="M57" s="16"/>
      <c r="N57" s="16"/>
      <c r="O57" s="79">
        <f>G57-L57</f>
        <v>0</v>
      </c>
      <c r="P57" s="140"/>
      <c r="Q57" s="97">
        <f t="shared" si="27"/>
        <v>0</v>
      </c>
      <c r="R57" s="97">
        <f t="shared" si="7"/>
        <v>0</v>
      </c>
      <c r="S57" s="112">
        <f t="shared" si="28"/>
        <v>29.3</v>
      </c>
    </row>
    <row r="58" spans="1:19" s="41" customFormat="1" ht="54.75" customHeight="1" x14ac:dyDescent="0.25">
      <c r="A58" s="119"/>
      <c r="B58" s="116" t="s">
        <v>11</v>
      </c>
      <c r="C58" s="16"/>
      <c r="D58" s="16"/>
      <c r="E58" s="16"/>
      <c r="F58" s="16">
        <v>9324.7000000000007</v>
      </c>
      <c r="G58" s="16">
        <v>9324.7000000000007</v>
      </c>
      <c r="H58" s="16">
        <f>J58</f>
        <v>7573.37</v>
      </c>
      <c r="I58" s="38">
        <f t="shared" si="37"/>
        <v>0.81</v>
      </c>
      <c r="J58" s="16">
        <v>7573.37</v>
      </c>
      <c r="K58" s="38">
        <f t="shared" si="38"/>
        <v>0.81</v>
      </c>
      <c r="L58" s="16">
        <v>8916.33</v>
      </c>
      <c r="M58" s="16"/>
      <c r="N58" s="16"/>
      <c r="O58" s="79">
        <f t="shared" ref="O58" si="39">G58-L58</f>
        <v>408.37</v>
      </c>
      <c r="P58" s="140"/>
      <c r="Q58" s="97">
        <f t="shared" si="27"/>
        <v>408.37</v>
      </c>
      <c r="R58" s="97">
        <f t="shared" si="7"/>
        <v>0</v>
      </c>
      <c r="S58" s="112">
        <f t="shared" si="28"/>
        <v>0</v>
      </c>
    </row>
    <row r="59" spans="1:19" s="41" customFormat="1" ht="54.75" customHeight="1" x14ac:dyDescent="0.25">
      <c r="A59" s="119"/>
      <c r="B59" s="116" t="s">
        <v>13</v>
      </c>
      <c r="C59" s="16"/>
      <c r="D59" s="16"/>
      <c r="E59" s="16"/>
      <c r="F59" s="16"/>
      <c r="G59" s="16"/>
      <c r="H59" s="16"/>
      <c r="I59" s="18"/>
      <c r="J59" s="16"/>
      <c r="K59" s="18"/>
      <c r="L59" s="16"/>
      <c r="M59" s="16"/>
      <c r="N59" s="16"/>
      <c r="O59" s="16"/>
      <c r="P59" s="140"/>
      <c r="Q59" s="97">
        <f t="shared" si="27"/>
        <v>0</v>
      </c>
      <c r="R59" s="97">
        <f t="shared" si="7"/>
        <v>0</v>
      </c>
      <c r="S59" s="112">
        <f t="shared" si="28"/>
        <v>0</v>
      </c>
    </row>
    <row r="60" spans="1:19" s="41" customFormat="1" ht="53.25" customHeight="1" x14ac:dyDescent="0.25">
      <c r="A60" s="119"/>
      <c r="B60" s="116" t="s">
        <v>5</v>
      </c>
      <c r="C60" s="16"/>
      <c r="D60" s="16"/>
      <c r="E60" s="16"/>
      <c r="F60" s="16"/>
      <c r="G60" s="16"/>
      <c r="H60" s="16"/>
      <c r="I60" s="18"/>
      <c r="J60" s="16"/>
      <c r="K60" s="18"/>
      <c r="L60" s="16"/>
      <c r="M60" s="16"/>
      <c r="N60" s="16"/>
      <c r="O60" s="16"/>
      <c r="P60" s="140"/>
      <c r="Q60" s="97">
        <f t="shared" si="27"/>
        <v>0</v>
      </c>
      <c r="R60" s="97">
        <f t="shared" si="7"/>
        <v>0</v>
      </c>
      <c r="S60" s="112">
        <f t="shared" si="28"/>
        <v>0</v>
      </c>
    </row>
    <row r="61" spans="1:19" s="41" customFormat="1" ht="120" customHeight="1" outlineLevel="1" x14ac:dyDescent="0.25">
      <c r="A61" s="119" t="s">
        <v>21</v>
      </c>
      <c r="B61" s="75" t="s">
        <v>46</v>
      </c>
      <c r="C61" s="15" t="e">
        <f>#REF!+#REF!+#REF!+#REF!+#REF!</f>
        <v>#REF!</v>
      </c>
      <c r="D61" s="15" t="e">
        <f>#REF!+#REF!+#REF!+#REF!+#REF!</f>
        <v>#REF!</v>
      </c>
      <c r="E61" s="15" t="e">
        <f>#REF!+#REF!+#REF!+#REF!+#REF!</f>
        <v>#REF!</v>
      </c>
      <c r="F61" s="24"/>
      <c r="G61" s="24"/>
      <c r="H61" s="27"/>
      <c r="I61" s="25"/>
      <c r="J61" s="24"/>
      <c r="K61" s="25"/>
      <c r="L61" s="25"/>
      <c r="M61" s="17"/>
      <c r="N61" s="17"/>
      <c r="O61" s="17"/>
      <c r="P61" s="116" t="s">
        <v>59</v>
      </c>
      <c r="Q61" s="97">
        <f t="shared" si="27"/>
        <v>0</v>
      </c>
      <c r="R61" s="97">
        <f t="shared" si="7"/>
        <v>0</v>
      </c>
      <c r="S61" s="112">
        <f t="shared" si="28"/>
        <v>0</v>
      </c>
    </row>
    <row r="62" spans="1:19" s="45" customFormat="1" ht="106.5" customHeight="1" x14ac:dyDescent="0.25">
      <c r="A62" s="119" t="s">
        <v>22</v>
      </c>
      <c r="B62" s="75" t="s">
        <v>47</v>
      </c>
      <c r="C62" s="15" t="e">
        <f>#REF!+#REF!+#REF!+#REF!+#REF!</f>
        <v>#REF!</v>
      </c>
      <c r="D62" s="15" t="e">
        <f>#REF!+#REF!+#REF!+#REF!+#REF!</f>
        <v>#REF!</v>
      </c>
      <c r="E62" s="15" t="e">
        <f>#REF!+#REF!+#REF!+#REF!+#REF!</f>
        <v>#REF!</v>
      </c>
      <c r="F62" s="24"/>
      <c r="G62" s="24"/>
      <c r="H62" s="27"/>
      <c r="I62" s="25"/>
      <c r="J62" s="24"/>
      <c r="K62" s="25"/>
      <c r="L62" s="25"/>
      <c r="M62" s="17"/>
      <c r="N62" s="17"/>
      <c r="O62" s="17"/>
      <c r="P62" s="116" t="s">
        <v>59</v>
      </c>
      <c r="Q62" s="97">
        <f t="shared" si="27"/>
        <v>0</v>
      </c>
      <c r="R62" s="97">
        <f t="shared" si="7"/>
        <v>0</v>
      </c>
      <c r="S62" s="112">
        <f t="shared" si="28"/>
        <v>0</v>
      </c>
    </row>
    <row r="63" spans="1:19" s="46" customFormat="1" ht="137.25" customHeight="1" x14ac:dyDescent="0.25">
      <c r="A63" s="122" t="s">
        <v>23</v>
      </c>
      <c r="B63" s="120" t="s">
        <v>105</v>
      </c>
      <c r="C63" s="105"/>
      <c r="D63" s="105"/>
      <c r="E63" s="105"/>
      <c r="F63" s="121">
        <f>SUM(F64:F67)</f>
        <v>2126214.61</v>
      </c>
      <c r="G63" s="121">
        <f>SUM(G64:G67)</f>
        <v>2154984.46</v>
      </c>
      <c r="H63" s="121">
        <f>SUM(H64:H67)</f>
        <v>1370559.6</v>
      </c>
      <c r="I63" s="100">
        <f>H63/G63</f>
        <v>0.64</v>
      </c>
      <c r="J63" s="121">
        <f t="shared" ref="J63" si="40">SUM(J64:J68)</f>
        <v>1348014.91</v>
      </c>
      <c r="K63" s="100">
        <f>J63/G63</f>
        <v>0.63</v>
      </c>
      <c r="L63" s="121">
        <f>SUM(L64:L67)</f>
        <v>2064718.87</v>
      </c>
      <c r="M63" s="121" t="e">
        <f t="shared" ref="M63:N63" si="41">SUM(M64:M68)</f>
        <v>#REF!</v>
      </c>
      <c r="N63" s="121" t="e">
        <f t="shared" si="41"/>
        <v>#REF!</v>
      </c>
      <c r="O63" s="121">
        <f>SUM(O64:O68)</f>
        <v>90265.59</v>
      </c>
      <c r="P63" s="122"/>
      <c r="Q63" s="97">
        <f t="shared" si="27"/>
        <v>90265.59</v>
      </c>
      <c r="R63" s="97">
        <f t="shared" si="7"/>
        <v>0</v>
      </c>
      <c r="S63" s="112">
        <f t="shared" si="28"/>
        <v>22544.69</v>
      </c>
    </row>
    <row r="64" spans="1:19" s="47" customFormat="1" ht="30.75" customHeight="1" x14ac:dyDescent="0.25">
      <c r="A64" s="58"/>
      <c r="B64" s="116" t="s">
        <v>4</v>
      </c>
      <c r="C64" s="106"/>
      <c r="D64" s="106"/>
      <c r="E64" s="106"/>
      <c r="F64" s="16">
        <f t="shared" ref="F64:H67" si="42">F70+F112</f>
        <v>18576.37</v>
      </c>
      <c r="G64" s="16">
        <f t="shared" si="42"/>
        <v>17782.669999999998</v>
      </c>
      <c r="H64" s="16">
        <f t="shared" si="42"/>
        <v>15344.57</v>
      </c>
      <c r="I64" s="23">
        <f t="shared" ref="I64:I66" si="43">H64/G64</f>
        <v>0.86299999999999999</v>
      </c>
      <c r="J64" s="16">
        <f>J70+J112</f>
        <v>11341.94</v>
      </c>
      <c r="K64" s="23">
        <f t="shared" ref="K64:K66" si="44">J64/G64</f>
        <v>0.63800000000000001</v>
      </c>
      <c r="L64" s="16">
        <f>L70+L112</f>
        <v>15344.57</v>
      </c>
      <c r="M64" s="16" t="e">
        <f>#REF!+M112</f>
        <v>#REF!</v>
      </c>
      <c r="N64" s="20" t="e">
        <f>#REF!+N112</f>
        <v>#REF!</v>
      </c>
      <c r="O64" s="16">
        <f>O70+O112</f>
        <v>2438.1</v>
      </c>
      <c r="P64" s="103"/>
      <c r="Q64" s="97">
        <f t="shared" si="27"/>
        <v>2438.1</v>
      </c>
      <c r="R64" s="97">
        <f t="shared" si="7"/>
        <v>0</v>
      </c>
      <c r="S64" s="112">
        <f t="shared" si="28"/>
        <v>4002.63</v>
      </c>
    </row>
    <row r="65" spans="1:19" s="47" customFormat="1" ht="30.75" customHeight="1" x14ac:dyDescent="0.25">
      <c r="A65" s="58"/>
      <c r="B65" s="116" t="s">
        <v>60</v>
      </c>
      <c r="C65" s="106"/>
      <c r="D65" s="106"/>
      <c r="E65" s="106"/>
      <c r="F65" s="16">
        <f t="shared" si="42"/>
        <v>1864415.41</v>
      </c>
      <c r="G65" s="16">
        <f t="shared" si="42"/>
        <v>1893978.96</v>
      </c>
      <c r="H65" s="16">
        <f t="shared" si="42"/>
        <v>1202934.44</v>
      </c>
      <c r="I65" s="23">
        <f t="shared" si="43"/>
        <v>0.63500000000000001</v>
      </c>
      <c r="J65" s="16">
        <f>J71+J113</f>
        <v>1184392.3999999999</v>
      </c>
      <c r="K65" s="23">
        <f t="shared" si="44"/>
        <v>0.625</v>
      </c>
      <c r="L65" s="16">
        <f>L71+L113</f>
        <v>1812260.98</v>
      </c>
      <c r="M65" s="16" t="e">
        <f>#REF!+M113</f>
        <v>#REF!</v>
      </c>
      <c r="N65" s="20" t="e">
        <f>#REF!+N113</f>
        <v>#REF!</v>
      </c>
      <c r="O65" s="16">
        <f>O71+O113</f>
        <v>81717.98</v>
      </c>
      <c r="P65" s="103"/>
      <c r="Q65" s="97">
        <f t="shared" si="27"/>
        <v>81717.98</v>
      </c>
      <c r="R65" s="97">
        <f t="shared" si="7"/>
        <v>0</v>
      </c>
      <c r="S65" s="112">
        <f t="shared" si="28"/>
        <v>18542.04</v>
      </c>
    </row>
    <row r="66" spans="1:19" s="47" customFormat="1" ht="30.75" customHeight="1" x14ac:dyDescent="0.25">
      <c r="A66" s="58"/>
      <c r="B66" s="116" t="s">
        <v>11</v>
      </c>
      <c r="C66" s="106"/>
      <c r="D66" s="106"/>
      <c r="E66" s="106"/>
      <c r="F66" s="16">
        <f t="shared" si="42"/>
        <v>243222.83</v>
      </c>
      <c r="G66" s="16">
        <f t="shared" si="42"/>
        <v>243222.83</v>
      </c>
      <c r="H66" s="16">
        <f t="shared" si="42"/>
        <v>152280.59</v>
      </c>
      <c r="I66" s="23">
        <f t="shared" si="43"/>
        <v>0.626</v>
      </c>
      <c r="J66" s="29">
        <f>J72+J114</f>
        <v>152280.57</v>
      </c>
      <c r="K66" s="23">
        <f t="shared" si="44"/>
        <v>0.626</v>
      </c>
      <c r="L66" s="16">
        <f>L72+L114</f>
        <v>237113.32</v>
      </c>
      <c r="M66" s="16" t="e">
        <f>#REF!+M114</f>
        <v>#REF!</v>
      </c>
      <c r="N66" s="20" t="e">
        <f>#REF!+N114</f>
        <v>#REF!</v>
      </c>
      <c r="O66" s="16">
        <f>O72+O114</f>
        <v>6109.51</v>
      </c>
      <c r="P66" s="107"/>
      <c r="Q66" s="97">
        <f t="shared" si="27"/>
        <v>6109.51</v>
      </c>
      <c r="R66" s="97">
        <f t="shared" si="7"/>
        <v>0</v>
      </c>
      <c r="S66" s="112">
        <f t="shared" si="28"/>
        <v>0.02</v>
      </c>
    </row>
    <row r="67" spans="1:19" s="47" customFormat="1" ht="30.75" customHeight="1" x14ac:dyDescent="0.25">
      <c r="A67" s="57"/>
      <c r="B67" s="118" t="s">
        <v>13</v>
      </c>
      <c r="C67" s="108"/>
      <c r="D67" s="108"/>
      <c r="E67" s="108"/>
      <c r="F67" s="29">
        <f t="shared" si="42"/>
        <v>0</v>
      </c>
      <c r="G67" s="29">
        <f t="shared" si="42"/>
        <v>0</v>
      </c>
      <c r="H67" s="29">
        <f t="shared" si="42"/>
        <v>0</v>
      </c>
      <c r="I67" s="62">
        <v>0</v>
      </c>
      <c r="J67" s="29">
        <f>J76+J115</f>
        <v>0</v>
      </c>
      <c r="K67" s="62">
        <v>0</v>
      </c>
      <c r="L67" s="29">
        <f>L73+L115</f>
        <v>0</v>
      </c>
      <c r="M67" s="29" t="e">
        <f>#REF!+M115</f>
        <v>#REF!</v>
      </c>
      <c r="N67" s="29" t="e">
        <f>#REF!+N115</f>
        <v>#REF!</v>
      </c>
      <c r="O67" s="29">
        <f>O73+O115</f>
        <v>0</v>
      </c>
      <c r="P67" s="104"/>
      <c r="Q67" s="97">
        <f t="shared" si="27"/>
        <v>0</v>
      </c>
      <c r="R67" s="97">
        <f t="shared" si="7"/>
        <v>0</v>
      </c>
      <c r="S67" s="112">
        <f t="shared" si="28"/>
        <v>0</v>
      </c>
    </row>
    <row r="68" spans="1:19" s="47" customFormat="1" ht="30.75" customHeight="1" collapsed="1" x14ac:dyDescent="0.25">
      <c r="A68" s="57"/>
      <c r="B68" s="118" t="s">
        <v>5</v>
      </c>
      <c r="C68" s="108"/>
      <c r="D68" s="108"/>
      <c r="E68" s="108"/>
      <c r="F68" s="29">
        <f>F74+F116</f>
        <v>0</v>
      </c>
      <c r="G68" s="29">
        <f>G74+G116</f>
        <v>0</v>
      </c>
      <c r="H68" s="29">
        <f>H74+H116</f>
        <v>0</v>
      </c>
      <c r="I68" s="62"/>
      <c r="J68" s="29"/>
      <c r="K68" s="62"/>
      <c r="L68" s="29">
        <f>L74+L116</f>
        <v>0</v>
      </c>
      <c r="M68" s="29"/>
      <c r="N68" s="29"/>
      <c r="O68" s="62"/>
      <c r="P68" s="104"/>
      <c r="Q68" s="97">
        <f t="shared" si="27"/>
        <v>0</v>
      </c>
      <c r="R68" s="97">
        <f t="shared" si="7"/>
        <v>0</v>
      </c>
      <c r="S68" s="112">
        <f t="shared" si="28"/>
        <v>0</v>
      </c>
    </row>
    <row r="69" spans="1:19" s="46" customFormat="1" ht="30.75" customHeight="1" x14ac:dyDescent="0.25">
      <c r="A69" s="87" t="s">
        <v>71</v>
      </c>
      <c r="B69" s="85" t="s">
        <v>83</v>
      </c>
      <c r="C69" s="109"/>
      <c r="D69" s="109"/>
      <c r="E69" s="109"/>
      <c r="F69" s="80">
        <f>SUM(F70:F74)</f>
        <v>2099592.29</v>
      </c>
      <c r="G69" s="80">
        <f>SUM(G70:G74)</f>
        <v>2129374.39</v>
      </c>
      <c r="H69" s="80">
        <f>SUM(H70:H74)</f>
        <v>1347518.38</v>
      </c>
      <c r="I69" s="110">
        <f>H69/G69</f>
        <v>0.63</v>
      </c>
      <c r="J69" s="80">
        <f>SUM(J70:J74)</f>
        <v>1329788.6200000001</v>
      </c>
      <c r="K69" s="81">
        <f>J69/G69</f>
        <v>0.624</v>
      </c>
      <c r="L69" s="80">
        <f>SUM(L70:L74)</f>
        <v>2041703.05</v>
      </c>
      <c r="M69" s="80">
        <f>SUM(M70:M74)</f>
        <v>2054224.39</v>
      </c>
      <c r="N69" s="80">
        <f>G69-M69</f>
        <v>75150</v>
      </c>
      <c r="O69" s="80">
        <f>SUM(O71:O74)</f>
        <v>87671.34</v>
      </c>
      <c r="P69" s="19"/>
      <c r="Q69" s="102">
        <f t="shared" ref="Q69:Q108" si="45">G69-L69</f>
        <v>87671.34</v>
      </c>
      <c r="R69" s="102">
        <f t="shared" ref="R69:R108" si="46">O69-Q69</f>
        <v>0</v>
      </c>
      <c r="S69" s="112">
        <f t="shared" si="28"/>
        <v>17729.759999999998</v>
      </c>
    </row>
    <row r="70" spans="1:19" s="47" customFormat="1" ht="30.75" customHeight="1" x14ac:dyDescent="0.25">
      <c r="A70" s="88"/>
      <c r="B70" s="118" t="s">
        <v>4</v>
      </c>
      <c r="C70" s="108"/>
      <c r="D70" s="108"/>
      <c r="E70" s="108"/>
      <c r="F70" s="29">
        <f>F76+F82+F88+F100</f>
        <v>0</v>
      </c>
      <c r="G70" s="29">
        <f>G76+G82+G88+G100</f>
        <v>0</v>
      </c>
      <c r="H70" s="29">
        <f>H76+H82+H88+H100</f>
        <v>0</v>
      </c>
      <c r="I70" s="30"/>
      <c r="J70" s="29"/>
      <c r="K70" s="29"/>
      <c r="L70" s="29">
        <f>L76+L82+L88+L100</f>
        <v>0</v>
      </c>
      <c r="M70" s="29"/>
      <c r="N70" s="29"/>
      <c r="O70" s="29">
        <f>G70-L70</f>
        <v>0</v>
      </c>
      <c r="P70" s="104"/>
      <c r="Q70" s="97">
        <f t="shared" si="45"/>
        <v>0</v>
      </c>
      <c r="R70" s="97">
        <f t="shared" si="46"/>
        <v>0</v>
      </c>
      <c r="S70" s="112">
        <f t="shared" si="28"/>
        <v>0</v>
      </c>
    </row>
    <row r="71" spans="1:19" s="47" customFormat="1" ht="30.75" customHeight="1" x14ac:dyDescent="0.25">
      <c r="A71" s="88"/>
      <c r="B71" s="118" t="s">
        <v>88</v>
      </c>
      <c r="C71" s="108"/>
      <c r="D71" s="108"/>
      <c r="E71" s="108"/>
      <c r="F71" s="29">
        <f t="shared" ref="F71:H72" si="47">F77+F83+F89+F101+F107</f>
        <v>1856822.96</v>
      </c>
      <c r="G71" s="29">
        <f t="shared" si="47"/>
        <v>1886605.06</v>
      </c>
      <c r="H71" s="29">
        <f t="shared" si="47"/>
        <v>1195560.54</v>
      </c>
      <c r="I71" s="30">
        <f>H71/G71</f>
        <v>0.63</v>
      </c>
      <c r="J71" s="29">
        <f>J77+J83+J89+J101+J107</f>
        <v>1177830.78</v>
      </c>
      <c r="K71" s="30">
        <f>J71/G71</f>
        <v>0.62</v>
      </c>
      <c r="L71" s="29">
        <f>L77+L83+L89+L101+L107</f>
        <v>1805043.23</v>
      </c>
      <c r="M71" s="29">
        <f>M77+M83+M89+M101</f>
        <v>1819721.56</v>
      </c>
      <c r="N71" s="29">
        <f>N77+N83+N89</f>
        <v>0</v>
      </c>
      <c r="O71" s="29">
        <f>G71-L71</f>
        <v>81561.83</v>
      </c>
      <c r="P71" s="104"/>
      <c r="Q71" s="97">
        <f t="shared" si="45"/>
        <v>81561.83</v>
      </c>
      <c r="R71" s="97">
        <f t="shared" si="46"/>
        <v>0</v>
      </c>
      <c r="S71" s="112">
        <f t="shared" si="28"/>
        <v>17729.759999999998</v>
      </c>
    </row>
    <row r="72" spans="1:19" s="47" customFormat="1" ht="30.75" customHeight="1" x14ac:dyDescent="0.25">
      <c r="A72" s="88"/>
      <c r="B72" s="118" t="s">
        <v>11</v>
      </c>
      <c r="C72" s="108"/>
      <c r="D72" s="108"/>
      <c r="E72" s="108"/>
      <c r="F72" s="29">
        <f t="shared" si="47"/>
        <v>242769.33</v>
      </c>
      <c r="G72" s="29">
        <f t="shared" si="47"/>
        <v>242769.33</v>
      </c>
      <c r="H72" s="29">
        <f t="shared" si="47"/>
        <v>151957.84</v>
      </c>
      <c r="I72" s="30">
        <f>H72/G72</f>
        <v>0.63</v>
      </c>
      <c r="J72" s="29">
        <f>J78+J84+J90+J102+J108</f>
        <v>151957.84</v>
      </c>
      <c r="K72" s="30">
        <f>J72/G72</f>
        <v>0.63</v>
      </c>
      <c r="L72" s="29">
        <f>L78+L84+L90+L102+L108</f>
        <v>236659.82</v>
      </c>
      <c r="M72" s="29">
        <f>M78+M84+M90+M102</f>
        <v>234502.83</v>
      </c>
      <c r="N72" s="29">
        <f>N78+N84+N90</f>
        <v>0</v>
      </c>
      <c r="O72" s="29">
        <f>G72-L72</f>
        <v>6109.51</v>
      </c>
      <c r="P72" s="104"/>
      <c r="Q72" s="97">
        <f t="shared" si="45"/>
        <v>6109.51</v>
      </c>
      <c r="R72" s="97">
        <f t="shared" si="46"/>
        <v>0</v>
      </c>
      <c r="S72" s="112">
        <f t="shared" si="28"/>
        <v>0</v>
      </c>
    </row>
    <row r="73" spans="1:19" s="47" customFormat="1" ht="30.75" customHeight="1" x14ac:dyDescent="0.25">
      <c r="A73" s="88"/>
      <c r="B73" s="118" t="s">
        <v>13</v>
      </c>
      <c r="C73" s="108"/>
      <c r="D73" s="108"/>
      <c r="E73" s="108"/>
      <c r="F73" s="29">
        <f t="shared" ref="F73:H74" si="48">F79+F85+F91+F103</f>
        <v>0</v>
      </c>
      <c r="G73" s="29">
        <f t="shared" si="48"/>
        <v>0</v>
      </c>
      <c r="H73" s="29">
        <f t="shared" si="48"/>
        <v>0</v>
      </c>
      <c r="I73" s="30">
        <v>0</v>
      </c>
      <c r="J73" s="29">
        <f>J79+J85+J91+J103</f>
        <v>0</v>
      </c>
      <c r="K73" s="30">
        <v>0</v>
      </c>
      <c r="L73" s="29">
        <f>L79+L85+L91+L103</f>
        <v>0</v>
      </c>
      <c r="M73" s="29">
        <f>M79+M85+M91+M103</f>
        <v>0</v>
      </c>
      <c r="N73" s="29">
        <f>N79+N85+N91</f>
        <v>0</v>
      </c>
      <c r="O73" s="29">
        <v>0</v>
      </c>
      <c r="P73" s="104"/>
      <c r="Q73" s="97">
        <f t="shared" si="45"/>
        <v>0</v>
      </c>
      <c r="R73" s="97">
        <f t="shared" si="46"/>
        <v>0</v>
      </c>
      <c r="S73" s="112">
        <f t="shared" ref="S73:S104" si="49">H73-J73</f>
        <v>0</v>
      </c>
    </row>
    <row r="74" spans="1:19" s="47" customFormat="1" ht="30.75" customHeight="1" x14ac:dyDescent="0.25">
      <c r="A74" s="88"/>
      <c r="B74" s="118" t="s">
        <v>5</v>
      </c>
      <c r="C74" s="108"/>
      <c r="D74" s="108"/>
      <c r="E74" s="108"/>
      <c r="F74" s="29">
        <f t="shared" si="48"/>
        <v>0</v>
      </c>
      <c r="G74" s="29">
        <f t="shared" si="48"/>
        <v>0</v>
      </c>
      <c r="H74" s="29">
        <f t="shared" si="48"/>
        <v>0</v>
      </c>
      <c r="I74" s="30"/>
      <c r="J74" s="29"/>
      <c r="K74" s="29"/>
      <c r="L74" s="29">
        <f>L80+L86+L92+L104</f>
        <v>0</v>
      </c>
      <c r="M74" s="29"/>
      <c r="N74" s="29"/>
      <c r="O74" s="29"/>
      <c r="P74" s="104"/>
      <c r="Q74" s="97">
        <f t="shared" si="45"/>
        <v>0</v>
      </c>
      <c r="R74" s="97">
        <f t="shared" si="46"/>
        <v>0</v>
      </c>
      <c r="S74" s="112">
        <f t="shared" si="49"/>
        <v>0</v>
      </c>
    </row>
    <row r="75" spans="1:19" s="46" customFormat="1" ht="220.5" customHeight="1" x14ac:dyDescent="0.25">
      <c r="A75" s="89" t="s">
        <v>72</v>
      </c>
      <c r="B75" s="86" t="s">
        <v>61</v>
      </c>
      <c r="C75" s="111"/>
      <c r="D75" s="111"/>
      <c r="E75" s="111"/>
      <c r="F75" s="78">
        <f>SUM(F76:F80)</f>
        <v>780047.54</v>
      </c>
      <c r="G75" s="78">
        <f>SUM(G76:G80)</f>
        <v>780047.54</v>
      </c>
      <c r="H75" s="78">
        <f>SUM(H76:H80)</f>
        <v>213450.6</v>
      </c>
      <c r="I75" s="82">
        <f>H75/G75</f>
        <v>0.27</v>
      </c>
      <c r="J75" s="78">
        <f>SUM(J76:J80)</f>
        <v>213450.6</v>
      </c>
      <c r="K75" s="82">
        <f>J75/G75</f>
        <v>0.27</v>
      </c>
      <c r="L75" s="78">
        <f>SUM(L76:L80)</f>
        <v>780047.54</v>
      </c>
      <c r="M75" s="78">
        <f>SUM(M76:M80)</f>
        <v>780047.54</v>
      </c>
      <c r="N75" s="78">
        <f>G75-M75</f>
        <v>0</v>
      </c>
      <c r="O75" s="80">
        <f>O76+O77+O78+O79+O80</f>
        <v>0</v>
      </c>
      <c r="P75" s="171" t="s">
        <v>124</v>
      </c>
      <c r="Q75" s="102">
        <f t="shared" si="45"/>
        <v>0</v>
      </c>
      <c r="R75" s="102">
        <f t="shared" si="46"/>
        <v>0</v>
      </c>
      <c r="S75" s="112">
        <f t="shared" si="49"/>
        <v>0</v>
      </c>
    </row>
    <row r="76" spans="1:19" s="47" customFormat="1" ht="30.75" customHeight="1" x14ac:dyDescent="0.25">
      <c r="A76" s="89"/>
      <c r="B76" s="118" t="s">
        <v>4</v>
      </c>
      <c r="C76" s="108"/>
      <c r="D76" s="108"/>
      <c r="E76" s="108"/>
      <c r="F76" s="29"/>
      <c r="G76" s="125"/>
      <c r="H76" s="29"/>
      <c r="I76" s="30"/>
      <c r="J76" s="29"/>
      <c r="K76" s="30"/>
      <c r="L76" s="29"/>
      <c r="M76" s="125"/>
      <c r="N76" s="29"/>
      <c r="O76" s="29">
        <f>G76-L76</f>
        <v>0</v>
      </c>
      <c r="P76" s="104"/>
      <c r="Q76" s="97">
        <f t="shared" si="45"/>
        <v>0</v>
      </c>
      <c r="R76" s="97">
        <f t="shared" si="46"/>
        <v>0</v>
      </c>
      <c r="S76" s="112">
        <f t="shared" si="49"/>
        <v>0</v>
      </c>
    </row>
    <row r="77" spans="1:19" s="47" customFormat="1" ht="30.75" customHeight="1" x14ac:dyDescent="0.25">
      <c r="A77" s="89"/>
      <c r="B77" s="118" t="s">
        <v>88</v>
      </c>
      <c r="C77" s="108"/>
      <c r="D77" s="108"/>
      <c r="E77" s="108"/>
      <c r="F77" s="29">
        <v>694242.31</v>
      </c>
      <c r="G77" s="29">
        <v>694242.31</v>
      </c>
      <c r="H77" s="29">
        <v>190044.1</v>
      </c>
      <c r="I77" s="30">
        <f>H77/G77</f>
        <v>0.27</v>
      </c>
      <c r="J77" s="29">
        <v>190044.1</v>
      </c>
      <c r="K77" s="30">
        <f>J77/G77</f>
        <v>0.27</v>
      </c>
      <c r="L77" s="29">
        <v>694242.31</v>
      </c>
      <c r="M77" s="29">
        <f>G77</f>
        <v>694242.31</v>
      </c>
      <c r="N77" s="29">
        <f>G77-M77</f>
        <v>0</v>
      </c>
      <c r="O77" s="29">
        <f>G77-L77</f>
        <v>0</v>
      </c>
      <c r="P77" s="104"/>
      <c r="Q77" s="97">
        <f t="shared" si="45"/>
        <v>0</v>
      </c>
      <c r="R77" s="97">
        <f t="shared" si="46"/>
        <v>0</v>
      </c>
      <c r="S77" s="112">
        <f t="shared" si="49"/>
        <v>0</v>
      </c>
    </row>
    <row r="78" spans="1:19" s="47" customFormat="1" ht="30.75" customHeight="1" x14ac:dyDescent="0.25">
      <c r="A78" s="89"/>
      <c r="B78" s="118" t="s">
        <v>62</v>
      </c>
      <c r="C78" s="108"/>
      <c r="D78" s="108"/>
      <c r="E78" s="108"/>
      <c r="F78" s="29">
        <v>85805.23</v>
      </c>
      <c r="G78" s="29">
        <v>85805.23</v>
      </c>
      <c r="H78" s="29">
        <v>23406.5</v>
      </c>
      <c r="I78" s="30">
        <f>H78/G78</f>
        <v>0.27</v>
      </c>
      <c r="J78" s="29">
        <v>23406.5</v>
      </c>
      <c r="K78" s="30">
        <f>J78/G78</f>
        <v>0.27</v>
      </c>
      <c r="L78" s="29">
        <v>85805.23</v>
      </c>
      <c r="M78" s="29">
        <f>G78</f>
        <v>85805.23</v>
      </c>
      <c r="N78" s="29">
        <f>G78-M78</f>
        <v>0</v>
      </c>
      <c r="O78" s="29">
        <f>G78-L78</f>
        <v>0</v>
      </c>
      <c r="P78" s="104"/>
      <c r="Q78" s="97">
        <f t="shared" si="45"/>
        <v>0</v>
      </c>
      <c r="R78" s="97">
        <f t="shared" si="46"/>
        <v>0</v>
      </c>
      <c r="S78" s="112">
        <f t="shared" si="49"/>
        <v>0</v>
      </c>
    </row>
    <row r="79" spans="1:19" s="47" customFormat="1" ht="30.75" customHeight="1" x14ac:dyDescent="0.25">
      <c r="A79" s="89"/>
      <c r="B79" s="118" t="s">
        <v>13</v>
      </c>
      <c r="C79" s="108"/>
      <c r="D79" s="108"/>
      <c r="E79" s="108"/>
      <c r="F79" s="29"/>
      <c r="G79" s="29"/>
      <c r="H79" s="29"/>
      <c r="I79" s="30"/>
      <c r="J79" s="29"/>
      <c r="K79" s="30"/>
      <c r="L79" s="29"/>
      <c r="M79" s="125"/>
      <c r="N79" s="29"/>
      <c r="O79" s="29"/>
      <c r="P79" s="104"/>
      <c r="Q79" s="97">
        <f t="shared" si="45"/>
        <v>0</v>
      </c>
      <c r="R79" s="97">
        <f t="shared" si="46"/>
        <v>0</v>
      </c>
      <c r="S79" s="112">
        <f t="shared" si="49"/>
        <v>0</v>
      </c>
    </row>
    <row r="80" spans="1:19" s="47" customFormat="1" ht="30.75" customHeight="1" x14ac:dyDescent="0.25">
      <c r="A80" s="89"/>
      <c r="B80" s="118" t="s">
        <v>5</v>
      </c>
      <c r="C80" s="108"/>
      <c r="D80" s="108"/>
      <c r="E80" s="108"/>
      <c r="F80" s="29"/>
      <c r="G80" s="125"/>
      <c r="H80" s="29"/>
      <c r="I80" s="30"/>
      <c r="J80" s="29"/>
      <c r="K80" s="30"/>
      <c r="L80" s="29"/>
      <c r="M80" s="125"/>
      <c r="N80" s="29"/>
      <c r="O80" s="29"/>
      <c r="P80" s="104"/>
      <c r="Q80" s="97">
        <f t="shared" si="45"/>
        <v>0</v>
      </c>
      <c r="R80" s="97">
        <f t="shared" si="46"/>
        <v>0</v>
      </c>
      <c r="S80" s="112">
        <f t="shared" si="49"/>
        <v>0</v>
      </c>
    </row>
    <row r="81" spans="1:19" s="46" customFormat="1" ht="167.25" customHeight="1" x14ac:dyDescent="0.25">
      <c r="A81" s="89" t="s">
        <v>73</v>
      </c>
      <c r="B81" s="86" t="s">
        <v>63</v>
      </c>
      <c r="C81" s="111"/>
      <c r="D81" s="111"/>
      <c r="E81" s="111"/>
      <c r="F81" s="78">
        <f>SUM(F82:F86)</f>
        <v>185479.95</v>
      </c>
      <c r="G81" s="78">
        <f>SUM(G82:G86)</f>
        <v>185479.95</v>
      </c>
      <c r="H81" s="78">
        <f>SUM(H82:H86)</f>
        <v>133042.22</v>
      </c>
      <c r="I81" s="82">
        <f>H81/G81</f>
        <v>0.72</v>
      </c>
      <c r="J81" s="78">
        <f>SUM(J82:J86)</f>
        <v>115312.46</v>
      </c>
      <c r="K81" s="82">
        <f>J81/G81</f>
        <v>0.62</v>
      </c>
      <c r="L81" s="78">
        <f>SUM(L82:L86)</f>
        <v>185479.95</v>
      </c>
      <c r="M81" s="78">
        <f>SUM(M82:M86)</f>
        <v>185479.95</v>
      </c>
      <c r="N81" s="78">
        <f>G81-M81</f>
        <v>0</v>
      </c>
      <c r="O81" s="80">
        <f>O82+O83+O84+O85+O86</f>
        <v>0</v>
      </c>
      <c r="P81" s="171" t="s">
        <v>131</v>
      </c>
      <c r="Q81" s="102">
        <f t="shared" si="45"/>
        <v>0</v>
      </c>
      <c r="R81" s="102">
        <f t="shared" si="46"/>
        <v>0</v>
      </c>
      <c r="S81" s="112">
        <f t="shared" si="49"/>
        <v>17729.759999999998</v>
      </c>
    </row>
    <row r="82" spans="1:19" s="47" customFormat="1" ht="30.75" customHeight="1" x14ac:dyDescent="0.25">
      <c r="A82" s="89"/>
      <c r="B82" s="118" t="s">
        <v>4</v>
      </c>
      <c r="C82" s="108"/>
      <c r="D82" s="108"/>
      <c r="E82" s="108"/>
      <c r="F82" s="29"/>
      <c r="G82" s="125"/>
      <c r="H82" s="29"/>
      <c r="I82" s="30"/>
      <c r="J82" s="29"/>
      <c r="K82" s="30"/>
      <c r="L82" s="29"/>
      <c r="M82" s="29"/>
      <c r="N82" s="29"/>
      <c r="O82" s="29">
        <f>G82-L82</f>
        <v>0</v>
      </c>
      <c r="P82" s="104"/>
      <c r="Q82" s="97">
        <f t="shared" si="45"/>
        <v>0</v>
      </c>
      <c r="R82" s="97">
        <f t="shared" si="46"/>
        <v>0</v>
      </c>
      <c r="S82" s="112">
        <f t="shared" si="49"/>
        <v>0</v>
      </c>
    </row>
    <row r="83" spans="1:19" s="47" customFormat="1" ht="30.75" customHeight="1" x14ac:dyDescent="0.25">
      <c r="A83" s="89"/>
      <c r="B83" s="118" t="s">
        <v>88</v>
      </c>
      <c r="C83" s="108"/>
      <c r="D83" s="108"/>
      <c r="E83" s="108"/>
      <c r="F83" s="29">
        <v>152245.15</v>
      </c>
      <c r="G83" s="29">
        <v>152245.15</v>
      </c>
      <c r="H83" s="29">
        <v>113844.17</v>
      </c>
      <c r="I83" s="30">
        <f>H83/G83</f>
        <v>0.75</v>
      </c>
      <c r="J83" s="29">
        <v>96114.41</v>
      </c>
      <c r="K83" s="30">
        <f>J83/G83</f>
        <v>0.63</v>
      </c>
      <c r="L83" s="29">
        <v>152245.15</v>
      </c>
      <c r="M83" s="29">
        <f>G83</f>
        <v>152245.15</v>
      </c>
      <c r="N83" s="29">
        <f>G83-M83</f>
        <v>0</v>
      </c>
      <c r="O83" s="29">
        <f>G83-L83</f>
        <v>0</v>
      </c>
      <c r="P83" s="104"/>
      <c r="Q83" s="97">
        <f t="shared" si="45"/>
        <v>0</v>
      </c>
      <c r="R83" s="97">
        <f t="shared" si="46"/>
        <v>0</v>
      </c>
      <c r="S83" s="112">
        <f t="shared" si="49"/>
        <v>17729.759999999998</v>
      </c>
    </row>
    <row r="84" spans="1:19" s="47" customFormat="1" ht="30.75" customHeight="1" x14ac:dyDescent="0.25">
      <c r="A84" s="89"/>
      <c r="B84" s="118" t="s">
        <v>62</v>
      </c>
      <c r="C84" s="108"/>
      <c r="D84" s="108"/>
      <c r="E84" s="108"/>
      <c r="F84" s="29">
        <v>33234.800000000003</v>
      </c>
      <c r="G84" s="29">
        <v>33234.800000000003</v>
      </c>
      <c r="H84" s="29">
        <v>19198.05</v>
      </c>
      <c r="I84" s="30">
        <f>H84/G84</f>
        <v>0.57999999999999996</v>
      </c>
      <c r="J84" s="29">
        <v>19198.05</v>
      </c>
      <c r="K84" s="30">
        <f>J84/G84</f>
        <v>0.57999999999999996</v>
      </c>
      <c r="L84" s="29">
        <v>33234.800000000003</v>
      </c>
      <c r="M84" s="29">
        <f>G84</f>
        <v>33234.800000000003</v>
      </c>
      <c r="N84" s="29">
        <f>G84-M84</f>
        <v>0</v>
      </c>
      <c r="O84" s="29">
        <f>G84-L84</f>
        <v>0</v>
      </c>
      <c r="P84" s="104"/>
      <c r="Q84" s="97">
        <f t="shared" si="45"/>
        <v>0</v>
      </c>
      <c r="R84" s="97">
        <f t="shared" si="46"/>
        <v>0</v>
      </c>
      <c r="S84" s="112">
        <f t="shared" si="49"/>
        <v>0</v>
      </c>
    </row>
    <row r="85" spans="1:19" s="47" customFormat="1" ht="30.75" customHeight="1" x14ac:dyDescent="0.25">
      <c r="A85" s="89"/>
      <c r="B85" s="118" t="s">
        <v>13</v>
      </c>
      <c r="C85" s="108"/>
      <c r="D85" s="108"/>
      <c r="E85" s="108"/>
      <c r="F85" s="29"/>
      <c r="G85" s="125"/>
      <c r="H85" s="29"/>
      <c r="I85" s="30"/>
      <c r="J85" s="29"/>
      <c r="K85" s="30"/>
      <c r="L85" s="29"/>
      <c r="M85" s="29"/>
      <c r="N85" s="29"/>
      <c r="O85" s="29"/>
      <c r="P85" s="104"/>
      <c r="Q85" s="97">
        <f t="shared" si="45"/>
        <v>0</v>
      </c>
      <c r="R85" s="97">
        <f t="shared" si="46"/>
        <v>0</v>
      </c>
      <c r="S85" s="112">
        <f t="shared" si="49"/>
        <v>0</v>
      </c>
    </row>
    <row r="86" spans="1:19" s="47" customFormat="1" ht="30.75" customHeight="1" x14ac:dyDescent="0.25">
      <c r="A86" s="89"/>
      <c r="B86" s="118" t="s">
        <v>5</v>
      </c>
      <c r="C86" s="108"/>
      <c r="D86" s="108"/>
      <c r="E86" s="108"/>
      <c r="F86" s="29"/>
      <c r="G86" s="125"/>
      <c r="H86" s="29"/>
      <c r="I86" s="30"/>
      <c r="J86" s="29"/>
      <c r="K86" s="30"/>
      <c r="L86" s="29"/>
      <c r="M86" s="29"/>
      <c r="N86" s="29"/>
      <c r="O86" s="29"/>
      <c r="P86" s="104"/>
      <c r="Q86" s="97">
        <f t="shared" si="45"/>
        <v>0</v>
      </c>
      <c r="R86" s="97">
        <f t="shared" si="46"/>
        <v>0</v>
      </c>
      <c r="S86" s="112">
        <f t="shared" si="49"/>
        <v>0</v>
      </c>
    </row>
    <row r="87" spans="1:19" s="46" customFormat="1" ht="49.5" customHeight="1" x14ac:dyDescent="0.25">
      <c r="A87" s="89" t="s">
        <v>74</v>
      </c>
      <c r="B87" s="86" t="s">
        <v>64</v>
      </c>
      <c r="C87" s="111"/>
      <c r="D87" s="111"/>
      <c r="E87" s="111"/>
      <c r="F87" s="78">
        <f>SUM(F88:F92)</f>
        <v>134979.57999999999</v>
      </c>
      <c r="G87" s="78">
        <f>SUM(G88:G92)</f>
        <v>134761.68</v>
      </c>
      <c r="H87" s="78">
        <f>SUM(H88:H92)</f>
        <v>77090.34</v>
      </c>
      <c r="I87" s="82">
        <f>H87/G87</f>
        <v>0.56999999999999995</v>
      </c>
      <c r="J87" s="78">
        <f>SUM(J88:J92)</f>
        <v>77090.34</v>
      </c>
      <c r="K87" s="82">
        <f>J87/G87</f>
        <v>0.56999999999999995</v>
      </c>
      <c r="L87" s="78">
        <f>SUM(L88:L92)</f>
        <v>77090.34</v>
      </c>
      <c r="M87" s="78">
        <f>SUM(M88:M92)</f>
        <v>134761.68</v>
      </c>
      <c r="N87" s="78">
        <f>G87-M87</f>
        <v>0</v>
      </c>
      <c r="O87" s="80">
        <f>O88+O89+O90+O91+O92</f>
        <v>57671.34</v>
      </c>
      <c r="P87" s="103"/>
      <c r="Q87" s="102">
        <f t="shared" si="45"/>
        <v>57671.34</v>
      </c>
      <c r="R87" s="102">
        <f t="shared" si="46"/>
        <v>0</v>
      </c>
      <c r="S87" s="112">
        <f t="shared" si="49"/>
        <v>0</v>
      </c>
    </row>
    <row r="88" spans="1:19" s="47" customFormat="1" ht="30.75" customHeight="1" x14ac:dyDescent="0.25">
      <c r="A88" s="89"/>
      <c r="B88" s="118" t="s">
        <v>4</v>
      </c>
      <c r="C88" s="108"/>
      <c r="D88" s="108"/>
      <c r="E88" s="108"/>
      <c r="F88" s="29">
        <f>F94</f>
        <v>0</v>
      </c>
      <c r="G88" s="29">
        <f>G94</f>
        <v>0</v>
      </c>
      <c r="H88" s="29">
        <f>H94</f>
        <v>0</v>
      </c>
      <c r="I88" s="30"/>
      <c r="J88" s="29"/>
      <c r="K88" s="30"/>
      <c r="L88" s="29"/>
      <c r="M88" s="29"/>
      <c r="N88" s="29"/>
      <c r="O88" s="29">
        <f>G88-L88</f>
        <v>0</v>
      </c>
      <c r="P88" s="103"/>
      <c r="Q88" s="97">
        <f t="shared" si="45"/>
        <v>0</v>
      </c>
      <c r="R88" s="97">
        <f t="shared" si="46"/>
        <v>0</v>
      </c>
      <c r="S88" s="112">
        <f t="shared" si="49"/>
        <v>0</v>
      </c>
    </row>
    <row r="89" spans="1:19" s="47" customFormat="1" ht="30.75" customHeight="1" x14ac:dyDescent="0.25">
      <c r="A89" s="89"/>
      <c r="B89" s="118" t="s">
        <v>88</v>
      </c>
      <c r="C89" s="108"/>
      <c r="D89" s="108"/>
      <c r="E89" s="108"/>
      <c r="F89" s="29">
        <f t="shared" ref="F89:G92" si="50">F95</f>
        <v>113452</v>
      </c>
      <c r="G89" s="29">
        <f t="shared" si="50"/>
        <v>113234.1</v>
      </c>
      <c r="H89" s="29">
        <f xml:space="preserve"> H95</f>
        <v>61672.27</v>
      </c>
      <c r="I89" s="62">
        <f>H89/G89</f>
        <v>0.54500000000000004</v>
      </c>
      <c r="J89" s="29">
        <f>H89</f>
        <v>61672.27</v>
      </c>
      <c r="K89" s="62">
        <f>J89/G89</f>
        <v>0.54500000000000004</v>
      </c>
      <c r="L89" s="29">
        <f t="shared" ref="L89:M91" si="51">L95</f>
        <v>61672.27</v>
      </c>
      <c r="M89" s="29">
        <f t="shared" si="51"/>
        <v>113234.1</v>
      </c>
      <c r="N89" s="29">
        <f>G89-M89</f>
        <v>0</v>
      </c>
      <c r="O89" s="29">
        <f>G89-L89</f>
        <v>51561.83</v>
      </c>
      <c r="P89" s="103"/>
      <c r="Q89" s="97">
        <f t="shared" si="45"/>
        <v>51561.83</v>
      </c>
      <c r="R89" s="97">
        <f t="shared" si="46"/>
        <v>0</v>
      </c>
      <c r="S89" s="112">
        <f t="shared" si="49"/>
        <v>0</v>
      </c>
    </row>
    <row r="90" spans="1:19" s="47" customFormat="1" ht="30.75" customHeight="1" x14ac:dyDescent="0.25">
      <c r="A90" s="89"/>
      <c r="B90" s="118" t="s">
        <v>62</v>
      </c>
      <c r="C90" s="108"/>
      <c r="D90" s="108"/>
      <c r="E90" s="108"/>
      <c r="F90" s="29">
        <f t="shared" si="50"/>
        <v>21527.58</v>
      </c>
      <c r="G90" s="29">
        <f t="shared" si="50"/>
        <v>21527.58</v>
      </c>
      <c r="H90" s="29">
        <f>H96</f>
        <v>15418.07</v>
      </c>
      <c r="I90" s="30">
        <f>H90/G90</f>
        <v>0.72</v>
      </c>
      <c r="J90" s="29">
        <f>J96</f>
        <v>15418.07</v>
      </c>
      <c r="K90" s="30">
        <f>J90/G90</f>
        <v>0.72</v>
      </c>
      <c r="L90" s="29">
        <f t="shared" si="51"/>
        <v>15418.07</v>
      </c>
      <c r="M90" s="29">
        <f t="shared" si="51"/>
        <v>21527.58</v>
      </c>
      <c r="N90" s="29">
        <f>G90-M90</f>
        <v>0</v>
      </c>
      <c r="O90" s="29">
        <f>G90-L90</f>
        <v>6109.51</v>
      </c>
      <c r="P90" s="103"/>
      <c r="Q90" s="97">
        <f t="shared" si="45"/>
        <v>6109.51</v>
      </c>
      <c r="R90" s="97">
        <f t="shared" si="46"/>
        <v>0</v>
      </c>
      <c r="S90" s="112">
        <f t="shared" si="49"/>
        <v>0</v>
      </c>
    </row>
    <row r="91" spans="1:19" s="47" customFormat="1" ht="30.75" customHeight="1" x14ac:dyDescent="0.25">
      <c r="A91" s="89"/>
      <c r="B91" s="118" t="s">
        <v>13</v>
      </c>
      <c r="C91" s="108"/>
      <c r="D91" s="108"/>
      <c r="E91" s="108"/>
      <c r="F91" s="29">
        <f t="shared" si="50"/>
        <v>0</v>
      </c>
      <c r="G91" s="29">
        <f t="shared" si="50"/>
        <v>0</v>
      </c>
      <c r="H91" s="29">
        <f>H97</f>
        <v>0</v>
      </c>
      <c r="I91" s="30"/>
      <c r="J91" s="29">
        <f>J97</f>
        <v>0</v>
      </c>
      <c r="K91" s="30"/>
      <c r="L91" s="29">
        <f t="shared" si="51"/>
        <v>0</v>
      </c>
      <c r="M91" s="29">
        <f t="shared" si="51"/>
        <v>0</v>
      </c>
      <c r="N91" s="29">
        <f>G91-M91</f>
        <v>0</v>
      </c>
      <c r="O91" s="29">
        <f>G91-L91</f>
        <v>0</v>
      </c>
      <c r="P91" s="103"/>
      <c r="Q91" s="97">
        <f t="shared" si="45"/>
        <v>0</v>
      </c>
      <c r="R91" s="97">
        <f t="shared" si="46"/>
        <v>0</v>
      </c>
      <c r="S91" s="112">
        <f t="shared" si="49"/>
        <v>0</v>
      </c>
    </row>
    <row r="92" spans="1:19" s="47" customFormat="1" ht="30.75" customHeight="1" x14ac:dyDescent="0.25">
      <c r="A92" s="89"/>
      <c r="B92" s="118" t="s">
        <v>5</v>
      </c>
      <c r="C92" s="108"/>
      <c r="D92" s="108"/>
      <c r="E92" s="108"/>
      <c r="F92" s="29">
        <f t="shared" si="50"/>
        <v>0</v>
      </c>
      <c r="G92" s="29">
        <f t="shared" si="50"/>
        <v>0</v>
      </c>
      <c r="H92" s="29">
        <f>H98</f>
        <v>0</v>
      </c>
      <c r="I92" s="30"/>
      <c r="J92" s="29"/>
      <c r="K92" s="30"/>
      <c r="L92" s="29"/>
      <c r="M92" s="29"/>
      <c r="N92" s="29"/>
      <c r="O92" s="29"/>
      <c r="P92" s="103"/>
      <c r="Q92" s="97">
        <f t="shared" si="45"/>
        <v>0</v>
      </c>
      <c r="R92" s="97">
        <f t="shared" si="46"/>
        <v>0</v>
      </c>
      <c r="S92" s="112">
        <f t="shared" si="49"/>
        <v>0</v>
      </c>
    </row>
    <row r="93" spans="1:19" s="51" customFormat="1" ht="328.5" customHeight="1" x14ac:dyDescent="0.25">
      <c r="A93" s="87" t="s">
        <v>75</v>
      </c>
      <c r="B93" s="85" t="s">
        <v>65</v>
      </c>
      <c r="C93" s="109"/>
      <c r="D93" s="109"/>
      <c r="E93" s="109"/>
      <c r="F93" s="80">
        <f>SUM(F94:F98)</f>
        <v>134979.57999999999</v>
      </c>
      <c r="G93" s="80">
        <f>SUM(G94:G98)</f>
        <v>134761.68</v>
      </c>
      <c r="H93" s="80">
        <f>SUM(H94:H98)</f>
        <v>77090.34</v>
      </c>
      <c r="I93" s="110">
        <f>H93/G93</f>
        <v>0.56999999999999995</v>
      </c>
      <c r="J93" s="80">
        <f>SUM(J94:J98)</f>
        <v>77090.34</v>
      </c>
      <c r="K93" s="110">
        <f>J93/G93</f>
        <v>0.56999999999999995</v>
      </c>
      <c r="L93" s="80">
        <f>SUM(L94:L98)</f>
        <v>77090.34</v>
      </c>
      <c r="M93" s="80">
        <f>SUM(M94:M98)</f>
        <v>134761.68</v>
      </c>
      <c r="N93" s="80">
        <f>G93-M93</f>
        <v>0</v>
      </c>
      <c r="O93" s="80">
        <f>O94+O95+O96+O97+O98</f>
        <v>57671.34</v>
      </c>
      <c r="P93" s="103" t="s">
        <v>108</v>
      </c>
      <c r="Q93" s="102">
        <f t="shared" si="45"/>
        <v>57671.34</v>
      </c>
      <c r="R93" s="102">
        <f t="shared" si="46"/>
        <v>0</v>
      </c>
      <c r="S93" s="112">
        <f t="shared" si="49"/>
        <v>0</v>
      </c>
    </row>
    <row r="94" spans="1:19" s="47" customFormat="1" ht="30.75" customHeight="1" x14ac:dyDescent="0.25">
      <c r="A94" s="89"/>
      <c r="B94" s="118" t="s">
        <v>4</v>
      </c>
      <c r="C94" s="108"/>
      <c r="D94" s="108"/>
      <c r="E94" s="108"/>
      <c r="F94" s="29"/>
      <c r="G94" s="125"/>
      <c r="H94" s="29"/>
      <c r="I94" s="30"/>
      <c r="J94" s="29"/>
      <c r="K94" s="30"/>
      <c r="L94" s="29"/>
      <c r="M94" s="29"/>
      <c r="N94" s="29"/>
      <c r="O94" s="29">
        <f>G94-L94</f>
        <v>0</v>
      </c>
      <c r="P94" s="104"/>
      <c r="Q94" s="97">
        <f t="shared" si="45"/>
        <v>0</v>
      </c>
      <c r="R94" s="97">
        <f t="shared" si="46"/>
        <v>0</v>
      </c>
      <c r="S94" s="112">
        <f t="shared" si="49"/>
        <v>0</v>
      </c>
    </row>
    <row r="95" spans="1:19" s="47" customFormat="1" ht="30.75" customHeight="1" x14ac:dyDescent="0.25">
      <c r="A95" s="89"/>
      <c r="B95" s="118" t="s">
        <v>88</v>
      </c>
      <c r="C95" s="108"/>
      <c r="D95" s="108"/>
      <c r="E95" s="108"/>
      <c r="F95" s="29">
        <v>113452</v>
      </c>
      <c r="G95" s="29">
        <v>113234.1</v>
      </c>
      <c r="H95" s="29">
        <v>61672.27</v>
      </c>
      <c r="I95" s="62">
        <f>H95/G95</f>
        <v>0.54500000000000004</v>
      </c>
      <c r="J95" s="29">
        <v>61672.27</v>
      </c>
      <c r="K95" s="62">
        <f>J95/G95</f>
        <v>0.54500000000000004</v>
      </c>
      <c r="L95" s="29">
        <v>61672.27</v>
      </c>
      <c r="M95" s="29">
        <f>G95</f>
        <v>113234.1</v>
      </c>
      <c r="N95" s="29">
        <f>G95-M95</f>
        <v>0</v>
      </c>
      <c r="O95" s="29">
        <f>G95-L95</f>
        <v>51561.83</v>
      </c>
      <c r="P95" s="104"/>
      <c r="Q95" s="97">
        <f t="shared" si="45"/>
        <v>51561.83</v>
      </c>
      <c r="R95" s="97">
        <f t="shared" si="46"/>
        <v>0</v>
      </c>
      <c r="S95" s="112">
        <f t="shared" si="49"/>
        <v>0</v>
      </c>
    </row>
    <row r="96" spans="1:19" s="47" customFormat="1" ht="30.75" customHeight="1" x14ac:dyDescent="0.25">
      <c r="A96" s="89"/>
      <c r="B96" s="118" t="s">
        <v>62</v>
      </c>
      <c r="C96" s="108"/>
      <c r="D96" s="108"/>
      <c r="E96" s="108"/>
      <c r="F96" s="29">
        <v>21527.58</v>
      </c>
      <c r="G96" s="29">
        <v>21527.58</v>
      </c>
      <c r="H96" s="29">
        <v>15418.07</v>
      </c>
      <c r="I96" s="30">
        <f>H96/G96</f>
        <v>0.72</v>
      </c>
      <c r="J96" s="29">
        <v>15418.07</v>
      </c>
      <c r="K96" s="30">
        <f>J96/G96</f>
        <v>0.72</v>
      </c>
      <c r="L96" s="29">
        <v>15418.07</v>
      </c>
      <c r="M96" s="29">
        <f>G96</f>
        <v>21527.58</v>
      </c>
      <c r="N96" s="29">
        <f>G96-M96</f>
        <v>0</v>
      </c>
      <c r="O96" s="29">
        <f>G96-L96</f>
        <v>6109.51</v>
      </c>
      <c r="P96" s="104"/>
      <c r="Q96" s="97">
        <f t="shared" si="45"/>
        <v>6109.51</v>
      </c>
      <c r="R96" s="97">
        <f t="shared" si="46"/>
        <v>0</v>
      </c>
      <c r="S96" s="112">
        <f t="shared" si="49"/>
        <v>0</v>
      </c>
    </row>
    <row r="97" spans="1:19" s="47" customFormat="1" ht="30.75" customHeight="1" x14ac:dyDescent="0.25">
      <c r="A97" s="89"/>
      <c r="B97" s="118" t="s">
        <v>13</v>
      </c>
      <c r="C97" s="108"/>
      <c r="D97" s="108"/>
      <c r="E97" s="108"/>
      <c r="F97" s="29">
        <v>0</v>
      </c>
      <c r="G97" s="29">
        <v>0</v>
      </c>
      <c r="H97" s="29"/>
      <c r="I97" s="30"/>
      <c r="J97" s="29"/>
      <c r="K97" s="30">
        <v>0</v>
      </c>
      <c r="L97" s="29"/>
      <c r="M97" s="29">
        <f>G97</f>
        <v>0</v>
      </c>
      <c r="N97" s="29">
        <f>G97-M97</f>
        <v>0</v>
      </c>
      <c r="O97" s="29">
        <v>0</v>
      </c>
      <c r="P97" s="104"/>
      <c r="Q97" s="97">
        <f t="shared" si="45"/>
        <v>0</v>
      </c>
      <c r="R97" s="97">
        <f t="shared" si="46"/>
        <v>0</v>
      </c>
      <c r="S97" s="112">
        <f t="shared" si="49"/>
        <v>0</v>
      </c>
    </row>
    <row r="98" spans="1:19" s="47" customFormat="1" ht="30.75" customHeight="1" x14ac:dyDescent="0.25">
      <c r="A98" s="89"/>
      <c r="B98" s="118" t="s">
        <v>5</v>
      </c>
      <c r="C98" s="108"/>
      <c r="D98" s="108"/>
      <c r="E98" s="108"/>
      <c r="F98" s="29"/>
      <c r="G98" s="125"/>
      <c r="H98" s="29"/>
      <c r="I98" s="30"/>
      <c r="J98" s="29"/>
      <c r="K98" s="30"/>
      <c r="L98" s="30"/>
      <c r="M98" s="29"/>
      <c r="N98" s="29"/>
      <c r="O98" s="29"/>
      <c r="P98" s="104"/>
      <c r="Q98" s="97">
        <f t="shared" si="45"/>
        <v>0</v>
      </c>
      <c r="R98" s="97">
        <f t="shared" si="46"/>
        <v>0</v>
      </c>
      <c r="S98" s="112">
        <f t="shared" si="49"/>
        <v>0</v>
      </c>
    </row>
    <row r="99" spans="1:19" s="47" customFormat="1" ht="227.25" customHeight="1" x14ac:dyDescent="0.25">
      <c r="A99" s="89" t="s">
        <v>76</v>
      </c>
      <c r="B99" s="86" t="s">
        <v>66</v>
      </c>
      <c r="C99" s="111"/>
      <c r="D99" s="111"/>
      <c r="E99" s="111"/>
      <c r="F99" s="78">
        <f>SUM(F100:F104)</f>
        <v>923935.22</v>
      </c>
      <c r="G99" s="78">
        <f>SUM(G100:G104)</f>
        <v>953935.22</v>
      </c>
      <c r="H99" s="78">
        <f>SUM(H100:H104)</f>
        <v>923935.22</v>
      </c>
      <c r="I99" s="82">
        <f>H99/G99</f>
        <v>0.97</v>
      </c>
      <c r="J99" s="78">
        <f>SUM(J100:J104)</f>
        <v>923935.22</v>
      </c>
      <c r="K99" s="82">
        <f>J99/G99</f>
        <v>0.97</v>
      </c>
      <c r="L99" s="78">
        <f>SUM(L100:L104)</f>
        <v>923935.22</v>
      </c>
      <c r="M99" s="78">
        <f>SUM(M100:M104)</f>
        <v>953935.22</v>
      </c>
      <c r="N99" s="78">
        <f>G99-M99</f>
        <v>0</v>
      </c>
      <c r="O99" s="80">
        <f>O100+O101+O102+O103+O104</f>
        <v>30000</v>
      </c>
      <c r="P99" s="117" t="s">
        <v>127</v>
      </c>
      <c r="Q99" s="97">
        <f t="shared" si="45"/>
        <v>30000</v>
      </c>
      <c r="R99" s="97">
        <f t="shared" si="46"/>
        <v>0</v>
      </c>
      <c r="S99" s="112">
        <f t="shared" si="49"/>
        <v>0</v>
      </c>
    </row>
    <row r="100" spans="1:19" s="47" customFormat="1" ht="30.75" customHeight="1" x14ac:dyDescent="0.25">
      <c r="A100" s="89"/>
      <c r="B100" s="118" t="s">
        <v>4</v>
      </c>
      <c r="C100" s="108"/>
      <c r="D100" s="108"/>
      <c r="E100" s="108"/>
      <c r="F100" s="29"/>
      <c r="G100" s="29"/>
      <c r="H100" s="29"/>
      <c r="I100" s="30"/>
      <c r="J100" s="29"/>
      <c r="K100" s="30"/>
      <c r="L100" s="29"/>
      <c r="M100" s="29"/>
      <c r="N100" s="29"/>
      <c r="O100" s="29">
        <f>G100-L100</f>
        <v>0</v>
      </c>
      <c r="P100" s="104"/>
      <c r="Q100" s="97">
        <f t="shared" si="45"/>
        <v>0</v>
      </c>
      <c r="R100" s="97">
        <f t="shared" si="46"/>
        <v>0</v>
      </c>
      <c r="S100" s="112">
        <f t="shared" si="49"/>
        <v>0</v>
      </c>
    </row>
    <row r="101" spans="1:19" s="47" customFormat="1" ht="30.75" customHeight="1" x14ac:dyDescent="0.25">
      <c r="A101" s="89"/>
      <c r="B101" s="118" t="s">
        <v>88</v>
      </c>
      <c r="C101" s="108"/>
      <c r="D101" s="108"/>
      <c r="E101" s="108"/>
      <c r="F101" s="29">
        <v>830000</v>
      </c>
      <c r="G101" s="29">
        <v>860000</v>
      </c>
      <c r="H101" s="29">
        <v>830000</v>
      </c>
      <c r="I101" s="30">
        <f>H101/G101</f>
        <v>0.97</v>
      </c>
      <c r="J101" s="29">
        <v>830000</v>
      </c>
      <c r="K101" s="30">
        <f>J101/G101</f>
        <v>0.97</v>
      </c>
      <c r="L101" s="29">
        <v>830000</v>
      </c>
      <c r="M101" s="29">
        <f>G101</f>
        <v>860000</v>
      </c>
      <c r="N101" s="29">
        <f>G101-M101</f>
        <v>0</v>
      </c>
      <c r="O101" s="29">
        <f>G101-L101</f>
        <v>30000</v>
      </c>
      <c r="P101" s="104"/>
      <c r="Q101" s="97">
        <f t="shared" si="45"/>
        <v>30000</v>
      </c>
      <c r="R101" s="97">
        <f t="shared" si="46"/>
        <v>0</v>
      </c>
      <c r="S101" s="112">
        <f t="shared" si="49"/>
        <v>0</v>
      </c>
    </row>
    <row r="102" spans="1:19" s="47" customFormat="1" ht="30.75" customHeight="1" x14ac:dyDescent="0.25">
      <c r="A102" s="89"/>
      <c r="B102" s="118" t="s">
        <v>62</v>
      </c>
      <c r="C102" s="108"/>
      <c r="D102" s="108"/>
      <c r="E102" s="108"/>
      <c r="F102" s="29">
        <v>93935.22</v>
      </c>
      <c r="G102" s="29">
        <v>93935.22</v>
      </c>
      <c r="H102" s="29">
        <v>93935.22</v>
      </c>
      <c r="I102" s="30">
        <f>H102/G102</f>
        <v>1</v>
      </c>
      <c r="J102" s="29">
        <v>93935.22</v>
      </c>
      <c r="K102" s="30">
        <f>J102/G102</f>
        <v>1</v>
      </c>
      <c r="L102" s="29">
        <v>93935.22</v>
      </c>
      <c r="M102" s="29">
        <f>G102</f>
        <v>93935.22</v>
      </c>
      <c r="N102" s="29">
        <f>G102-M102</f>
        <v>0</v>
      </c>
      <c r="O102" s="29">
        <f>G102-L102</f>
        <v>0</v>
      </c>
      <c r="P102" s="104"/>
      <c r="Q102" s="97">
        <f t="shared" si="45"/>
        <v>0</v>
      </c>
      <c r="R102" s="97">
        <f t="shared" si="46"/>
        <v>0</v>
      </c>
      <c r="S102" s="112">
        <f t="shared" si="49"/>
        <v>0</v>
      </c>
    </row>
    <row r="103" spans="1:19" s="47" customFormat="1" ht="30.75" customHeight="1" x14ac:dyDescent="0.25">
      <c r="A103" s="89"/>
      <c r="B103" s="118" t="s">
        <v>13</v>
      </c>
      <c r="C103" s="108"/>
      <c r="D103" s="108"/>
      <c r="E103" s="108"/>
      <c r="F103" s="29"/>
      <c r="G103" s="29"/>
      <c r="H103" s="29"/>
      <c r="I103" s="30"/>
      <c r="J103" s="29"/>
      <c r="K103" s="30"/>
      <c r="L103" s="29"/>
      <c r="M103" s="29"/>
      <c r="N103" s="29"/>
      <c r="O103" s="29"/>
      <c r="P103" s="104"/>
      <c r="Q103" s="97">
        <f t="shared" si="45"/>
        <v>0</v>
      </c>
      <c r="R103" s="97">
        <f t="shared" si="46"/>
        <v>0</v>
      </c>
      <c r="S103" s="112">
        <f t="shared" si="49"/>
        <v>0</v>
      </c>
    </row>
    <row r="104" spans="1:19" s="47" customFormat="1" ht="30.75" customHeight="1" x14ac:dyDescent="0.25">
      <c r="A104" s="89"/>
      <c r="B104" s="118" t="s">
        <v>5</v>
      </c>
      <c r="C104" s="108"/>
      <c r="D104" s="108"/>
      <c r="E104" s="108"/>
      <c r="F104" s="29"/>
      <c r="G104" s="29"/>
      <c r="H104" s="29"/>
      <c r="I104" s="30"/>
      <c r="J104" s="29"/>
      <c r="K104" s="30"/>
      <c r="L104" s="29"/>
      <c r="M104" s="29"/>
      <c r="N104" s="29"/>
      <c r="O104" s="29"/>
      <c r="P104" s="104"/>
      <c r="Q104" s="97">
        <f t="shared" si="45"/>
        <v>0</v>
      </c>
      <c r="R104" s="97">
        <f t="shared" si="46"/>
        <v>0</v>
      </c>
      <c r="S104" s="112">
        <f t="shared" si="49"/>
        <v>0</v>
      </c>
    </row>
    <row r="105" spans="1:19" s="46" customFormat="1" ht="75.75" customHeight="1" x14ac:dyDescent="0.25">
      <c r="A105" s="89" t="s">
        <v>109</v>
      </c>
      <c r="B105" s="86" t="s">
        <v>110</v>
      </c>
      <c r="C105" s="111"/>
      <c r="D105" s="111"/>
      <c r="E105" s="111"/>
      <c r="F105" s="78">
        <f>SUM(F106:F108)</f>
        <v>75150</v>
      </c>
      <c r="G105" s="78">
        <f>SUM(G106:G108)</f>
        <v>75150</v>
      </c>
      <c r="H105" s="78">
        <v>0</v>
      </c>
      <c r="I105" s="82">
        <f>H105/G105</f>
        <v>0</v>
      </c>
      <c r="J105" s="78">
        <v>0</v>
      </c>
      <c r="K105" s="82">
        <f>J105/G105</f>
        <v>0</v>
      </c>
      <c r="L105" s="78">
        <f>SUM(L106:L108)</f>
        <v>75150</v>
      </c>
      <c r="M105" s="78">
        <f>SUM(M81:M82)</f>
        <v>185479.95</v>
      </c>
      <c r="N105" s="78">
        <f>G105-M105</f>
        <v>-110329.95</v>
      </c>
      <c r="O105" s="80">
        <f>O106+O107+O108+O81+O82</f>
        <v>0</v>
      </c>
      <c r="P105" s="171" t="s">
        <v>111</v>
      </c>
      <c r="Q105" s="102">
        <f t="shared" si="45"/>
        <v>0</v>
      </c>
      <c r="R105" s="102">
        <f t="shared" si="46"/>
        <v>0</v>
      </c>
      <c r="S105" s="112">
        <f t="shared" ref="S105:S136" si="52">H105-J105</f>
        <v>0</v>
      </c>
    </row>
    <row r="106" spans="1:19" s="47" customFormat="1" ht="30.75" customHeight="1" x14ac:dyDescent="0.25">
      <c r="A106" s="89"/>
      <c r="B106" s="118" t="s">
        <v>4</v>
      </c>
      <c r="C106" s="108"/>
      <c r="D106" s="108"/>
      <c r="E106" s="108"/>
      <c r="F106" s="29"/>
      <c r="G106" s="125"/>
      <c r="H106" s="29"/>
      <c r="I106" s="30"/>
      <c r="J106" s="29"/>
      <c r="K106" s="30"/>
      <c r="L106" s="29"/>
      <c r="M106" s="125"/>
      <c r="N106" s="29"/>
      <c r="O106" s="29">
        <f>G106-L106</f>
        <v>0</v>
      </c>
      <c r="P106" s="172"/>
      <c r="Q106" s="97">
        <f t="shared" si="45"/>
        <v>0</v>
      </c>
      <c r="R106" s="97">
        <f t="shared" si="46"/>
        <v>0</v>
      </c>
      <c r="S106" s="112">
        <f t="shared" si="52"/>
        <v>0</v>
      </c>
    </row>
    <row r="107" spans="1:19" s="47" customFormat="1" ht="30.75" customHeight="1" x14ac:dyDescent="0.25">
      <c r="A107" s="89"/>
      <c r="B107" s="118" t="s">
        <v>88</v>
      </c>
      <c r="C107" s="108"/>
      <c r="D107" s="108"/>
      <c r="E107" s="108"/>
      <c r="F107" s="29">
        <v>66883.5</v>
      </c>
      <c r="G107" s="29">
        <v>66883.5</v>
      </c>
      <c r="H107" s="173">
        <v>0</v>
      </c>
      <c r="I107" s="30">
        <f>H107/G107</f>
        <v>0</v>
      </c>
      <c r="J107" s="29">
        <v>0</v>
      </c>
      <c r="K107" s="30">
        <f>J107/G107</f>
        <v>0</v>
      </c>
      <c r="L107" s="29">
        <v>66883.5</v>
      </c>
      <c r="M107" s="29">
        <f>G107</f>
        <v>66883.5</v>
      </c>
      <c r="N107" s="29">
        <f>G107-M107</f>
        <v>0</v>
      </c>
      <c r="O107" s="29">
        <f>G107-L107</f>
        <v>0</v>
      </c>
      <c r="P107" s="172"/>
      <c r="Q107" s="97">
        <f t="shared" si="45"/>
        <v>0</v>
      </c>
      <c r="R107" s="97">
        <f t="shared" si="46"/>
        <v>0</v>
      </c>
      <c r="S107" s="112">
        <f t="shared" si="52"/>
        <v>0</v>
      </c>
    </row>
    <row r="108" spans="1:19" s="47" customFormat="1" ht="30.75" customHeight="1" x14ac:dyDescent="0.25">
      <c r="A108" s="89"/>
      <c r="B108" s="118" t="s">
        <v>62</v>
      </c>
      <c r="C108" s="108"/>
      <c r="D108" s="108"/>
      <c r="E108" s="108"/>
      <c r="F108" s="29">
        <v>8266.5</v>
      </c>
      <c r="G108" s="29">
        <v>8266.5</v>
      </c>
      <c r="H108" s="174">
        <v>0</v>
      </c>
      <c r="I108" s="30">
        <f>H108/G108</f>
        <v>0</v>
      </c>
      <c r="J108" s="29">
        <v>0</v>
      </c>
      <c r="K108" s="30">
        <f>J108/G108</f>
        <v>0</v>
      </c>
      <c r="L108" s="29">
        <v>8266.5</v>
      </c>
      <c r="M108" s="29">
        <f>G108</f>
        <v>8266.5</v>
      </c>
      <c r="N108" s="29">
        <f>G108-M108</f>
        <v>0</v>
      </c>
      <c r="O108" s="29">
        <f>G108-L108</f>
        <v>0</v>
      </c>
      <c r="P108" s="175"/>
      <c r="Q108" s="97">
        <f t="shared" si="45"/>
        <v>0</v>
      </c>
      <c r="R108" s="97">
        <f t="shared" si="46"/>
        <v>0</v>
      </c>
      <c r="S108" s="112">
        <f t="shared" si="52"/>
        <v>0</v>
      </c>
    </row>
    <row r="109" spans="1:19" s="47" customFormat="1" ht="36" customHeight="1" x14ac:dyDescent="0.25">
      <c r="A109" s="89"/>
      <c r="B109" s="118" t="s">
        <v>13</v>
      </c>
      <c r="C109" s="108"/>
      <c r="D109" s="108"/>
      <c r="E109" s="108"/>
      <c r="F109" s="29"/>
      <c r="G109" s="29"/>
      <c r="H109" s="29"/>
      <c r="I109" s="30"/>
      <c r="J109" s="29"/>
      <c r="K109" s="30"/>
      <c r="L109" s="29"/>
      <c r="M109" s="29"/>
      <c r="N109" s="29"/>
      <c r="O109" s="16"/>
      <c r="P109" s="164"/>
      <c r="Q109" s="97">
        <f t="shared" ref="Q109:Q139" si="53">G109-L109</f>
        <v>0</v>
      </c>
      <c r="R109" s="97">
        <f t="shared" ref="R109:R141" si="54">O109-Q109</f>
        <v>0</v>
      </c>
      <c r="S109" s="112">
        <f t="shared" si="52"/>
        <v>0</v>
      </c>
    </row>
    <row r="110" spans="1:19" s="47" customFormat="1" ht="36" customHeight="1" x14ac:dyDescent="0.25">
      <c r="A110" s="89"/>
      <c r="B110" s="118" t="s">
        <v>5</v>
      </c>
      <c r="C110" s="108"/>
      <c r="D110" s="108"/>
      <c r="E110" s="108"/>
      <c r="F110" s="29"/>
      <c r="G110" s="29"/>
      <c r="H110" s="29"/>
      <c r="I110" s="30"/>
      <c r="J110" s="29"/>
      <c r="K110" s="30"/>
      <c r="L110" s="29"/>
      <c r="M110" s="29"/>
      <c r="N110" s="29"/>
      <c r="O110" s="16"/>
      <c r="P110" s="164"/>
      <c r="Q110" s="97">
        <f t="shared" si="53"/>
        <v>0</v>
      </c>
      <c r="R110" s="97">
        <f t="shared" si="54"/>
        <v>0</v>
      </c>
      <c r="S110" s="112">
        <f t="shared" si="52"/>
        <v>0</v>
      </c>
    </row>
    <row r="111" spans="1:19" s="46" customFormat="1" ht="98.25" customHeight="1" x14ac:dyDescent="0.25">
      <c r="A111" s="87" t="s">
        <v>77</v>
      </c>
      <c r="B111" s="85" t="s">
        <v>84</v>
      </c>
      <c r="C111" s="49"/>
      <c r="D111" s="49"/>
      <c r="E111" s="49"/>
      <c r="F111" s="80">
        <f>SUM(F112:F116)</f>
        <v>26622.32</v>
      </c>
      <c r="G111" s="80">
        <f t="shared" ref="G111" si="55">SUM(G112:G116)</f>
        <v>25610.07</v>
      </c>
      <c r="H111" s="80">
        <f>SUM(H112:H116)</f>
        <v>23041.22</v>
      </c>
      <c r="I111" s="81">
        <f t="shared" ref="I111:I120" si="56">H111/G111</f>
        <v>0.9</v>
      </c>
      <c r="J111" s="80">
        <f>SUM(J112:J116)</f>
        <v>18226.29</v>
      </c>
      <c r="K111" s="81">
        <f t="shared" ref="K111:K120" si="57">J111/G111</f>
        <v>0.71199999999999997</v>
      </c>
      <c r="L111" s="80">
        <f>SUM(L112:L116)</f>
        <v>23015.82</v>
      </c>
      <c r="M111" s="80">
        <f t="shared" ref="M111" si="58">SUM(M112:M116)</f>
        <v>25610.07</v>
      </c>
      <c r="N111" s="83">
        <f t="shared" ref="N111:N112" si="59">G111-M111</f>
        <v>0</v>
      </c>
      <c r="O111" s="80">
        <f t="shared" ref="O111" si="60">O112+O113+O114+O115+O116</f>
        <v>2594.25</v>
      </c>
      <c r="P111" s="65"/>
      <c r="Q111" s="97">
        <f t="shared" si="53"/>
        <v>2594.25</v>
      </c>
      <c r="R111" s="97">
        <f t="shared" si="54"/>
        <v>0</v>
      </c>
      <c r="S111" s="112">
        <f t="shared" si="52"/>
        <v>4814.93</v>
      </c>
    </row>
    <row r="112" spans="1:19" s="47" customFormat="1" x14ac:dyDescent="0.25">
      <c r="A112" s="88"/>
      <c r="B112" s="118" t="s">
        <v>4</v>
      </c>
      <c r="C112" s="48"/>
      <c r="D112" s="48"/>
      <c r="E112" s="48"/>
      <c r="F112" s="29">
        <f>F136+F118+F124+F130+F142</f>
        <v>18576.37</v>
      </c>
      <c r="G112" s="29">
        <f t="shared" ref="G112" si="61">G136+G118+G124+G130+G142</f>
        <v>17782.669999999998</v>
      </c>
      <c r="H112" s="29">
        <f>H118+H124+H130+H136+H142</f>
        <v>15344.57</v>
      </c>
      <c r="I112" s="30">
        <f t="shared" si="56"/>
        <v>0.86</v>
      </c>
      <c r="J112" s="29">
        <f>J136+J118+J124+J130+J142</f>
        <v>11341.94</v>
      </c>
      <c r="K112" s="30">
        <f t="shared" si="57"/>
        <v>0.64</v>
      </c>
      <c r="L112" s="29">
        <f>L118+L124+L130+L136+L142</f>
        <v>15344.57</v>
      </c>
      <c r="M112" s="29">
        <f t="shared" ref="M112:M114" si="62">M136+M118+M124+M130+M142</f>
        <v>17782.669999999998</v>
      </c>
      <c r="N112" s="29">
        <f t="shared" si="59"/>
        <v>0</v>
      </c>
      <c r="O112" s="29">
        <f>G112-L112</f>
        <v>2438.1</v>
      </c>
      <c r="P112" s="64"/>
      <c r="Q112" s="97">
        <f t="shared" si="53"/>
        <v>2438.1</v>
      </c>
      <c r="R112" s="97">
        <f t="shared" si="54"/>
        <v>0</v>
      </c>
      <c r="S112" s="112">
        <f t="shared" si="52"/>
        <v>4002.63</v>
      </c>
    </row>
    <row r="113" spans="1:19" s="47" customFormat="1" x14ac:dyDescent="0.25">
      <c r="A113" s="88"/>
      <c r="B113" s="118" t="s">
        <v>60</v>
      </c>
      <c r="C113" s="48"/>
      <c r="D113" s="48"/>
      <c r="E113" s="48"/>
      <c r="F113" s="29">
        <f t="shared" ref="F113:H116" si="63">F137+F119+F125+F131+F143</f>
        <v>7592.45</v>
      </c>
      <c r="G113" s="29">
        <f t="shared" si="63"/>
        <v>7373.9</v>
      </c>
      <c r="H113" s="29">
        <f>H119++H125+H131+H137+H143</f>
        <v>7373.9</v>
      </c>
      <c r="I113" s="30">
        <f t="shared" si="56"/>
        <v>1</v>
      </c>
      <c r="J113" s="29">
        <f t="shared" ref="J113:J114" si="64">J137+J119+J125+J131+J143</f>
        <v>6561.62</v>
      </c>
      <c r="K113" s="30">
        <f t="shared" si="57"/>
        <v>0.89</v>
      </c>
      <c r="L113" s="29">
        <f>L119+L125+L131+L137+L143</f>
        <v>7217.75</v>
      </c>
      <c r="M113" s="29">
        <f t="shared" si="62"/>
        <v>7373.9</v>
      </c>
      <c r="N113" s="29">
        <f t="shared" ref="N113:N142" si="65">G113-M113</f>
        <v>0</v>
      </c>
      <c r="O113" s="29">
        <f>G113-L113</f>
        <v>156.15</v>
      </c>
      <c r="P113" s="64"/>
      <c r="Q113" s="97">
        <f t="shared" si="53"/>
        <v>156.15</v>
      </c>
      <c r="R113" s="97">
        <f t="shared" si="54"/>
        <v>0</v>
      </c>
      <c r="S113" s="112">
        <f t="shared" si="52"/>
        <v>812.28</v>
      </c>
    </row>
    <row r="114" spans="1:19" s="47" customFormat="1" x14ac:dyDescent="0.25">
      <c r="A114" s="88"/>
      <c r="B114" s="118" t="s">
        <v>62</v>
      </c>
      <c r="C114" s="48"/>
      <c r="D114" s="48"/>
      <c r="E114" s="48"/>
      <c r="F114" s="29">
        <f t="shared" si="63"/>
        <v>453.5</v>
      </c>
      <c r="G114" s="29">
        <f t="shared" si="63"/>
        <v>453.5</v>
      </c>
      <c r="H114" s="29">
        <f t="shared" si="63"/>
        <v>322.75</v>
      </c>
      <c r="I114" s="30">
        <f t="shared" si="56"/>
        <v>0.71</v>
      </c>
      <c r="J114" s="29">
        <f t="shared" si="64"/>
        <v>322.73</v>
      </c>
      <c r="K114" s="30">
        <f t="shared" si="57"/>
        <v>0.71</v>
      </c>
      <c r="L114" s="29">
        <f>L120+L126+L132+L138+L144</f>
        <v>453.5</v>
      </c>
      <c r="M114" s="29">
        <f t="shared" si="62"/>
        <v>453.5</v>
      </c>
      <c r="N114" s="29">
        <f t="shared" si="65"/>
        <v>0</v>
      </c>
      <c r="O114" s="29">
        <f t="shared" ref="O114" si="66">G114-L114</f>
        <v>0</v>
      </c>
      <c r="P114" s="64"/>
      <c r="Q114" s="97">
        <f t="shared" si="53"/>
        <v>0</v>
      </c>
      <c r="R114" s="97">
        <f t="shared" si="54"/>
        <v>0</v>
      </c>
      <c r="S114" s="112">
        <f t="shared" si="52"/>
        <v>0.02</v>
      </c>
    </row>
    <row r="115" spans="1:19" s="47" customFormat="1" ht="51" customHeight="1" x14ac:dyDescent="0.25">
      <c r="A115" s="88"/>
      <c r="B115" s="118" t="s">
        <v>13</v>
      </c>
      <c r="C115" s="48"/>
      <c r="D115" s="48"/>
      <c r="E115" s="48"/>
      <c r="F115" s="29">
        <f t="shared" si="63"/>
        <v>0</v>
      </c>
      <c r="G115" s="29">
        <f t="shared" si="63"/>
        <v>0</v>
      </c>
      <c r="H115" s="29">
        <f t="shared" si="63"/>
        <v>0</v>
      </c>
      <c r="I115" s="30"/>
      <c r="J115" s="29"/>
      <c r="K115" s="30"/>
      <c r="L115" s="29"/>
      <c r="M115" s="29"/>
      <c r="N115" s="29"/>
      <c r="O115" s="16"/>
      <c r="P115" s="64"/>
      <c r="Q115" s="97">
        <f t="shared" si="53"/>
        <v>0</v>
      </c>
      <c r="R115" s="97">
        <f t="shared" si="54"/>
        <v>0</v>
      </c>
      <c r="S115" s="112">
        <f t="shared" si="52"/>
        <v>0</v>
      </c>
    </row>
    <row r="116" spans="1:19" s="47" customFormat="1" ht="52.5" customHeight="1" collapsed="1" x14ac:dyDescent="0.25">
      <c r="A116" s="88"/>
      <c r="B116" s="118" t="s">
        <v>5</v>
      </c>
      <c r="C116" s="48"/>
      <c r="D116" s="48"/>
      <c r="E116" s="48"/>
      <c r="F116" s="29">
        <f t="shared" si="63"/>
        <v>0</v>
      </c>
      <c r="G116" s="29">
        <f t="shared" si="63"/>
        <v>0</v>
      </c>
      <c r="H116" s="29">
        <f t="shared" si="63"/>
        <v>0</v>
      </c>
      <c r="I116" s="30"/>
      <c r="J116" s="29"/>
      <c r="K116" s="30"/>
      <c r="L116" s="29"/>
      <c r="M116" s="29"/>
      <c r="N116" s="29"/>
      <c r="O116" s="16"/>
      <c r="P116" s="64"/>
      <c r="Q116" s="97">
        <f t="shared" si="53"/>
        <v>0</v>
      </c>
      <c r="R116" s="97">
        <f t="shared" si="54"/>
        <v>0</v>
      </c>
      <c r="S116" s="112">
        <f t="shared" si="52"/>
        <v>0</v>
      </c>
    </row>
    <row r="117" spans="1:19" s="176" customFormat="1" ht="132" customHeight="1" x14ac:dyDescent="0.25">
      <c r="A117" s="89" t="s">
        <v>78</v>
      </c>
      <c r="B117" s="86" t="s">
        <v>67</v>
      </c>
      <c r="C117" s="50"/>
      <c r="D117" s="50"/>
      <c r="E117" s="50"/>
      <c r="F117" s="78">
        <f t="shared" ref="F117:H117" si="67">SUM(F118:F122)</f>
        <v>7596.36</v>
      </c>
      <c r="G117" s="78">
        <f t="shared" si="67"/>
        <v>7343.78</v>
      </c>
      <c r="H117" s="78">
        <f t="shared" si="67"/>
        <v>7213.03</v>
      </c>
      <c r="I117" s="82">
        <f>H117/G117</f>
        <v>0.98</v>
      </c>
      <c r="J117" s="78">
        <f>SUM(J118:J122)</f>
        <v>6352.6</v>
      </c>
      <c r="K117" s="82">
        <f t="shared" si="57"/>
        <v>0.87</v>
      </c>
      <c r="L117" s="78">
        <f>L118+L119+L120</f>
        <v>7343.78</v>
      </c>
      <c r="M117" s="82">
        <f>M118+M119+M120</f>
        <v>7343.78</v>
      </c>
      <c r="N117" s="82">
        <f>N118+N119+N120</f>
        <v>0</v>
      </c>
      <c r="O117" s="15">
        <f t="shared" ref="O117" si="68">O118+O119+O120+O121+O122</f>
        <v>0</v>
      </c>
      <c r="P117" s="127" t="s">
        <v>113</v>
      </c>
      <c r="Q117" s="97">
        <f t="shared" si="53"/>
        <v>0</v>
      </c>
      <c r="R117" s="97">
        <f t="shared" si="54"/>
        <v>0</v>
      </c>
      <c r="S117" s="115">
        <f t="shared" si="52"/>
        <v>860.43</v>
      </c>
    </row>
    <row r="118" spans="1:19" s="52" customFormat="1" ht="49.5" customHeight="1" x14ac:dyDescent="0.25">
      <c r="A118" s="89"/>
      <c r="B118" s="118" t="s">
        <v>90</v>
      </c>
      <c r="C118" s="48"/>
      <c r="D118" s="48"/>
      <c r="E118" s="48"/>
      <c r="F118" s="29">
        <v>944.84</v>
      </c>
      <c r="G118" s="29">
        <v>910.81</v>
      </c>
      <c r="H118" s="29">
        <v>910.81</v>
      </c>
      <c r="I118" s="30">
        <f t="shared" si="56"/>
        <v>1</v>
      </c>
      <c r="J118" s="29">
        <f>646.56+59.98-0.01</f>
        <v>706.53</v>
      </c>
      <c r="K118" s="30">
        <f t="shared" si="57"/>
        <v>0.78</v>
      </c>
      <c r="L118" s="84">
        <v>910.81</v>
      </c>
      <c r="M118" s="29">
        <f>G118</f>
        <v>910.81</v>
      </c>
      <c r="N118" s="29">
        <f t="shared" si="65"/>
        <v>0</v>
      </c>
      <c r="O118" s="16">
        <f>G118-L118</f>
        <v>0</v>
      </c>
      <c r="P118" s="127"/>
      <c r="Q118" s="97">
        <f t="shared" si="53"/>
        <v>0</v>
      </c>
      <c r="R118" s="97">
        <f t="shared" si="54"/>
        <v>0</v>
      </c>
      <c r="S118" s="115">
        <f t="shared" si="52"/>
        <v>204.28</v>
      </c>
    </row>
    <row r="119" spans="1:19" s="52" customFormat="1" ht="49.5" customHeight="1" x14ac:dyDescent="0.25">
      <c r="A119" s="89"/>
      <c r="B119" s="118" t="s">
        <v>88</v>
      </c>
      <c r="C119" s="48"/>
      <c r="D119" s="48"/>
      <c r="E119" s="48"/>
      <c r="F119" s="29">
        <v>6198.02</v>
      </c>
      <c r="G119" s="29">
        <v>5979.47</v>
      </c>
      <c r="H119" s="29">
        <v>5979.47</v>
      </c>
      <c r="I119" s="30">
        <f t="shared" si="56"/>
        <v>1</v>
      </c>
      <c r="J119" s="29">
        <v>5323.34</v>
      </c>
      <c r="K119" s="30">
        <f t="shared" si="57"/>
        <v>0.89</v>
      </c>
      <c r="L119" s="84">
        <v>5979.47</v>
      </c>
      <c r="M119" s="29">
        <f>G119</f>
        <v>5979.47</v>
      </c>
      <c r="N119" s="29">
        <f t="shared" si="65"/>
        <v>0</v>
      </c>
      <c r="O119" s="16">
        <f>G119-L119</f>
        <v>0</v>
      </c>
      <c r="P119" s="127"/>
      <c r="Q119" s="97">
        <f t="shared" si="53"/>
        <v>0</v>
      </c>
      <c r="R119" s="97">
        <f t="shared" si="54"/>
        <v>0</v>
      </c>
      <c r="S119" s="115">
        <f t="shared" si="52"/>
        <v>656.13</v>
      </c>
    </row>
    <row r="120" spans="1:19" s="52" customFormat="1" ht="49.5" customHeight="1" x14ac:dyDescent="0.25">
      <c r="A120" s="89"/>
      <c r="B120" s="118" t="s">
        <v>62</v>
      </c>
      <c r="C120" s="48"/>
      <c r="D120" s="48"/>
      <c r="E120" s="48"/>
      <c r="F120" s="29">
        <v>453.5</v>
      </c>
      <c r="G120" s="29">
        <v>453.5</v>
      </c>
      <c r="H120" s="29">
        <v>322.75</v>
      </c>
      <c r="I120" s="30">
        <f t="shared" si="56"/>
        <v>0.71</v>
      </c>
      <c r="J120" s="29">
        <v>322.73</v>
      </c>
      <c r="K120" s="30">
        <f t="shared" si="57"/>
        <v>0.71</v>
      </c>
      <c r="L120" s="84">
        <v>453.5</v>
      </c>
      <c r="M120" s="29">
        <f>G120</f>
        <v>453.5</v>
      </c>
      <c r="N120" s="29">
        <f t="shared" si="65"/>
        <v>0</v>
      </c>
      <c r="O120" s="16">
        <f>G120-L120</f>
        <v>0</v>
      </c>
      <c r="P120" s="127"/>
      <c r="Q120" s="97">
        <f t="shared" si="53"/>
        <v>0</v>
      </c>
      <c r="R120" s="97">
        <f t="shared" si="54"/>
        <v>0</v>
      </c>
      <c r="S120" s="115">
        <f t="shared" si="52"/>
        <v>0.02</v>
      </c>
    </row>
    <row r="121" spans="1:19" s="52" customFormat="1" ht="49.5" customHeight="1" x14ac:dyDescent="0.25">
      <c r="A121" s="89"/>
      <c r="B121" s="118" t="s">
        <v>13</v>
      </c>
      <c r="C121" s="48"/>
      <c r="D121" s="48"/>
      <c r="E121" s="48"/>
      <c r="F121" s="29"/>
      <c r="G121" s="125"/>
      <c r="H121" s="29"/>
      <c r="I121" s="30"/>
      <c r="J121" s="29"/>
      <c r="K121" s="30"/>
      <c r="L121" s="30"/>
      <c r="M121" s="29"/>
      <c r="N121" s="29">
        <f t="shared" si="65"/>
        <v>0</v>
      </c>
      <c r="O121" s="16"/>
      <c r="P121" s="127"/>
      <c r="Q121" s="97">
        <f t="shared" si="53"/>
        <v>0</v>
      </c>
      <c r="R121" s="97">
        <f t="shared" si="54"/>
        <v>0</v>
      </c>
      <c r="S121" s="115">
        <f t="shared" si="52"/>
        <v>0</v>
      </c>
    </row>
    <row r="122" spans="1:19" s="52" customFormat="1" ht="49.5" customHeight="1" collapsed="1" x14ac:dyDescent="0.25">
      <c r="A122" s="89"/>
      <c r="B122" s="118" t="s">
        <v>5</v>
      </c>
      <c r="C122" s="48"/>
      <c r="D122" s="48"/>
      <c r="E122" s="48"/>
      <c r="F122" s="29"/>
      <c r="G122" s="125"/>
      <c r="H122" s="29"/>
      <c r="I122" s="30"/>
      <c r="J122" s="29"/>
      <c r="K122" s="30"/>
      <c r="L122" s="30"/>
      <c r="M122" s="29"/>
      <c r="N122" s="29">
        <f t="shared" si="65"/>
        <v>0</v>
      </c>
      <c r="O122" s="16"/>
      <c r="P122" s="127"/>
      <c r="Q122" s="97">
        <f t="shared" si="53"/>
        <v>0</v>
      </c>
      <c r="R122" s="97">
        <f t="shared" si="54"/>
        <v>0</v>
      </c>
      <c r="S122" s="115">
        <f t="shared" si="52"/>
        <v>0</v>
      </c>
    </row>
    <row r="123" spans="1:19" s="176" customFormat="1" ht="180" customHeight="1" x14ac:dyDescent="0.25">
      <c r="A123" s="89" t="s">
        <v>79</v>
      </c>
      <c r="B123" s="86" t="s">
        <v>68</v>
      </c>
      <c r="C123" s="93"/>
      <c r="D123" s="93"/>
      <c r="E123" s="93"/>
      <c r="F123" s="78">
        <f t="shared" ref="F123:H123" si="69">SUM(F124:F128)</f>
        <v>1.7</v>
      </c>
      <c r="G123" s="78">
        <f t="shared" si="69"/>
        <v>1.7</v>
      </c>
      <c r="H123" s="78">
        <f t="shared" si="69"/>
        <v>1.7</v>
      </c>
      <c r="I123" s="82">
        <f t="shared" ref="I123:I147" si="70">H123/G123</f>
        <v>1</v>
      </c>
      <c r="J123" s="78">
        <f>SUM(J124:J128)</f>
        <v>1.7</v>
      </c>
      <c r="K123" s="94">
        <f t="shared" ref="K123:K147" si="71">J123/G123</f>
        <v>1</v>
      </c>
      <c r="L123" s="84">
        <f>L125</f>
        <v>1.7</v>
      </c>
      <c r="M123" s="78">
        <f>SUM(M124:M128)</f>
        <v>1.7</v>
      </c>
      <c r="N123" s="78">
        <f t="shared" si="65"/>
        <v>0</v>
      </c>
      <c r="O123" s="15">
        <f t="shared" ref="O123" si="72">O124+O125+O126+O127+O128</f>
        <v>0</v>
      </c>
      <c r="P123" s="165" t="s">
        <v>100</v>
      </c>
      <c r="Q123" s="97">
        <f t="shared" si="53"/>
        <v>0</v>
      </c>
      <c r="R123" s="97">
        <f t="shared" si="54"/>
        <v>0</v>
      </c>
      <c r="S123" s="115">
        <f t="shared" si="52"/>
        <v>0</v>
      </c>
    </row>
    <row r="124" spans="1:19" s="52" customFormat="1" x14ac:dyDescent="0.25">
      <c r="A124" s="89"/>
      <c r="B124" s="118" t="s">
        <v>4</v>
      </c>
      <c r="C124" s="66"/>
      <c r="D124" s="66"/>
      <c r="E124" s="66"/>
      <c r="F124" s="29"/>
      <c r="G124" s="29"/>
      <c r="H124" s="29"/>
      <c r="I124" s="30"/>
      <c r="J124" s="29"/>
      <c r="K124" s="30"/>
      <c r="L124" s="30"/>
      <c r="M124" s="29"/>
      <c r="N124" s="29"/>
      <c r="O124" s="16">
        <f>G124-L124</f>
        <v>0</v>
      </c>
      <c r="P124" s="165"/>
      <c r="Q124" s="97">
        <f t="shared" si="53"/>
        <v>0</v>
      </c>
      <c r="R124" s="97">
        <f t="shared" si="54"/>
        <v>0</v>
      </c>
      <c r="S124" s="115">
        <f t="shared" si="52"/>
        <v>0</v>
      </c>
    </row>
    <row r="125" spans="1:19" s="52" customFormat="1" x14ac:dyDescent="0.25">
      <c r="A125" s="89"/>
      <c r="B125" s="118" t="s">
        <v>60</v>
      </c>
      <c r="C125" s="66"/>
      <c r="D125" s="66"/>
      <c r="E125" s="66"/>
      <c r="F125" s="29">
        <v>1.7</v>
      </c>
      <c r="G125" s="29">
        <v>1.7</v>
      </c>
      <c r="H125" s="29">
        <v>1.7</v>
      </c>
      <c r="I125" s="30">
        <f t="shared" si="70"/>
        <v>1</v>
      </c>
      <c r="J125" s="29">
        <v>1.7</v>
      </c>
      <c r="K125" s="62">
        <f t="shared" si="71"/>
        <v>1</v>
      </c>
      <c r="L125" s="84">
        <v>1.7</v>
      </c>
      <c r="M125" s="29">
        <f>G125</f>
        <v>1.7</v>
      </c>
      <c r="N125" s="29">
        <f t="shared" si="65"/>
        <v>0</v>
      </c>
      <c r="O125" s="16">
        <f>G125-L125</f>
        <v>0</v>
      </c>
      <c r="P125" s="165"/>
      <c r="Q125" s="97">
        <f t="shared" si="53"/>
        <v>0</v>
      </c>
      <c r="R125" s="97">
        <f t="shared" si="54"/>
        <v>0</v>
      </c>
      <c r="S125" s="115">
        <f t="shared" si="52"/>
        <v>0</v>
      </c>
    </row>
    <row r="126" spans="1:19" s="52" customFormat="1" x14ac:dyDescent="0.25">
      <c r="A126" s="89"/>
      <c r="B126" s="118" t="s">
        <v>62</v>
      </c>
      <c r="C126" s="66"/>
      <c r="D126" s="66"/>
      <c r="E126" s="66"/>
      <c r="F126" s="29"/>
      <c r="G126" s="29"/>
      <c r="H126" s="29"/>
      <c r="I126" s="30"/>
      <c r="J126" s="29"/>
      <c r="K126" s="30"/>
      <c r="L126" s="30"/>
      <c r="M126" s="29"/>
      <c r="N126" s="29"/>
      <c r="O126" s="16">
        <f t="shared" ref="O126" si="73">G126-L126</f>
        <v>0</v>
      </c>
      <c r="P126" s="165"/>
      <c r="Q126" s="97">
        <f t="shared" si="53"/>
        <v>0</v>
      </c>
      <c r="R126" s="97">
        <f t="shared" si="54"/>
        <v>0</v>
      </c>
      <c r="S126" s="115">
        <f t="shared" si="52"/>
        <v>0</v>
      </c>
    </row>
    <row r="127" spans="1:19" s="52" customFormat="1" x14ac:dyDescent="0.25">
      <c r="A127" s="89"/>
      <c r="B127" s="118" t="s">
        <v>13</v>
      </c>
      <c r="C127" s="66"/>
      <c r="D127" s="66"/>
      <c r="E127" s="66"/>
      <c r="F127" s="29"/>
      <c r="G127" s="29"/>
      <c r="H127" s="29"/>
      <c r="I127" s="30"/>
      <c r="J127" s="29"/>
      <c r="K127" s="30"/>
      <c r="L127" s="30"/>
      <c r="M127" s="29"/>
      <c r="N127" s="29"/>
      <c r="O127" s="16"/>
      <c r="P127" s="165"/>
      <c r="Q127" s="97">
        <f t="shared" si="53"/>
        <v>0</v>
      </c>
      <c r="R127" s="97">
        <f t="shared" si="54"/>
        <v>0</v>
      </c>
      <c r="S127" s="115">
        <f t="shared" si="52"/>
        <v>0</v>
      </c>
    </row>
    <row r="128" spans="1:19" s="52" customFormat="1" collapsed="1" x14ac:dyDescent="0.25">
      <c r="A128" s="89"/>
      <c r="B128" s="118" t="s">
        <v>5</v>
      </c>
      <c r="C128" s="66"/>
      <c r="D128" s="66"/>
      <c r="E128" s="66"/>
      <c r="F128" s="29"/>
      <c r="G128" s="29"/>
      <c r="H128" s="29"/>
      <c r="I128" s="30"/>
      <c r="J128" s="29"/>
      <c r="K128" s="30"/>
      <c r="L128" s="30"/>
      <c r="M128" s="29"/>
      <c r="N128" s="29"/>
      <c r="O128" s="16"/>
      <c r="P128" s="165"/>
      <c r="Q128" s="97">
        <f t="shared" si="53"/>
        <v>0</v>
      </c>
      <c r="R128" s="97">
        <f t="shared" si="54"/>
        <v>0</v>
      </c>
      <c r="S128" s="115">
        <f t="shared" si="52"/>
        <v>0</v>
      </c>
    </row>
    <row r="129" spans="1:19" s="177" customFormat="1" ht="177" customHeight="1" outlineLevel="1" x14ac:dyDescent="0.25">
      <c r="A129" s="89" t="s">
        <v>80</v>
      </c>
      <c r="B129" s="86" t="s">
        <v>69</v>
      </c>
      <c r="C129" s="93"/>
      <c r="D129" s="93"/>
      <c r="E129" s="93"/>
      <c r="F129" s="78">
        <f>SUM(F130:F134)</f>
        <v>10635.4</v>
      </c>
      <c r="G129" s="78">
        <f t="shared" ref="G129:H129" si="74">SUM(G130:G134)</f>
        <v>9875.73</v>
      </c>
      <c r="H129" s="78">
        <f t="shared" si="74"/>
        <v>9875.73</v>
      </c>
      <c r="I129" s="82">
        <f t="shared" si="70"/>
        <v>1</v>
      </c>
      <c r="J129" s="78">
        <f>SUM(J130:J134)</f>
        <v>6077.38</v>
      </c>
      <c r="K129" s="82">
        <f t="shared" si="71"/>
        <v>0.62</v>
      </c>
      <c r="L129" s="29">
        <f>L130</f>
        <v>9875.73</v>
      </c>
      <c r="M129" s="78">
        <f>SUM(M130:M134)</f>
        <v>9875.73</v>
      </c>
      <c r="N129" s="78">
        <f t="shared" si="65"/>
        <v>0</v>
      </c>
      <c r="O129" s="15">
        <f t="shared" ref="O129" si="75">O130+O131+O132+O133+O134</f>
        <v>0</v>
      </c>
      <c r="P129" s="165" t="s">
        <v>114</v>
      </c>
      <c r="Q129" s="97">
        <f t="shared" si="53"/>
        <v>0</v>
      </c>
      <c r="R129" s="97">
        <f t="shared" si="54"/>
        <v>0</v>
      </c>
      <c r="S129" s="115">
        <f t="shared" si="52"/>
        <v>3798.35</v>
      </c>
    </row>
    <row r="130" spans="1:19" s="52" customFormat="1" outlineLevel="1" x14ac:dyDescent="0.25">
      <c r="A130" s="89"/>
      <c r="B130" s="118" t="s">
        <v>4</v>
      </c>
      <c r="C130" s="66"/>
      <c r="D130" s="66"/>
      <c r="E130" s="66"/>
      <c r="F130" s="29">
        <v>10635.4</v>
      </c>
      <c r="G130" s="29">
        <v>9875.73</v>
      </c>
      <c r="H130" s="29">
        <v>9875.73</v>
      </c>
      <c r="I130" s="30">
        <f t="shared" si="70"/>
        <v>1</v>
      </c>
      <c r="J130" s="29">
        <v>6077.38</v>
      </c>
      <c r="K130" s="30">
        <f t="shared" si="71"/>
        <v>0.62</v>
      </c>
      <c r="L130" s="29">
        <v>9875.73</v>
      </c>
      <c r="M130" s="29">
        <f>G130</f>
        <v>9875.73</v>
      </c>
      <c r="N130" s="29">
        <f t="shared" si="65"/>
        <v>0</v>
      </c>
      <c r="O130" s="16">
        <f>G130-L130</f>
        <v>0</v>
      </c>
      <c r="P130" s="165"/>
      <c r="Q130" s="97">
        <f t="shared" si="53"/>
        <v>0</v>
      </c>
      <c r="R130" s="97">
        <f t="shared" si="54"/>
        <v>0</v>
      </c>
      <c r="S130" s="115">
        <f t="shared" si="52"/>
        <v>3798.35</v>
      </c>
    </row>
    <row r="131" spans="1:19" s="52" customFormat="1" outlineLevel="1" x14ac:dyDescent="0.25">
      <c r="A131" s="89"/>
      <c r="B131" s="118" t="s">
        <v>60</v>
      </c>
      <c r="C131" s="66"/>
      <c r="D131" s="66"/>
      <c r="E131" s="66"/>
      <c r="F131" s="29"/>
      <c r="G131" s="29"/>
      <c r="H131" s="29"/>
      <c r="I131" s="30"/>
      <c r="J131" s="29"/>
      <c r="K131" s="30"/>
      <c r="L131" s="30"/>
      <c r="M131" s="29"/>
      <c r="N131" s="29"/>
      <c r="O131" s="16">
        <f>G131-L131</f>
        <v>0</v>
      </c>
      <c r="P131" s="165"/>
      <c r="Q131" s="97">
        <f t="shared" si="53"/>
        <v>0</v>
      </c>
      <c r="R131" s="97">
        <f t="shared" si="54"/>
        <v>0</v>
      </c>
      <c r="S131" s="115">
        <f t="shared" si="52"/>
        <v>0</v>
      </c>
    </row>
    <row r="132" spans="1:19" s="52" customFormat="1" outlineLevel="1" x14ac:dyDescent="0.25">
      <c r="A132" s="89"/>
      <c r="B132" s="118" t="s">
        <v>62</v>
      </c>
      <c r="C132" s="66"/>
      <c r="D132" s="66"/>
      <c r="E132" s="66"/>
      <c r="F132" s="29"/>
      <c r="G132" s="29"/>
      <c r="H132" s="29"/>
      <c r="I132" s="30"/>
      <c r="J132" s="29"/>
      <c r="K132" s="30"/>
      <c r="L132" s="30"/>
      <c r="M132" s="29"/>
      <c r="N132" s="29"/>
      <c r="O132" s="16">
        <f t="shared" ref="O132" si="76">G132-L132</f>
        <v>0</v>
      </c>
      <c r="P132" s="165"/>
      <c r="Q132" s="97">
        <f t="shared" si="53"/>
        <v>0</v>
      </c>
      <c r="R132" s="97">
        <f t="shared" si="54"/>
        <v>0</v>
      </c>
      <c r="S132" s="115">
        <f t="shared" si="52"/>
        <v>0</v>
      </c>
    </row>
    <row r="133" spans="1:19" s="52" customFormat="1" outlineLevel="1" x14ac:dyDescent="0.25">
      <c r="A133" s="89"/>
      <c r="B133" s="118" t="s">
        <v>13</v>
      </c>
      <c r="C133" s="66"/>
      <c r="D133" s="66"/>
      <c r="E133" s="66"/>
      <c r="F133" s="29"/>
      <c r="G133" s="125"/>
      <c r="H133" s="29"/>
      <c r="I133" s="30"/>
      <c r="J133" s="29"/>
      <c r="K133" s="30"/>
      <c r="L133" s="30"/>
      <c r="M133" s="29"/>
      <c r="N133" s="29"/>
      <c r="O133" s="16"/>
      <c r="P133" s="165"/>
      <c r="Q133" s="97">
        <f t="shared" si="53"/>
        <v>0</v>
      </c>
      <c r="R133" s="97">
        <f t="shared" si="54"/>
        <v>0</v>
      </c>
      <c r="S133" s="115">
        <f t="shared" si="52"/>
        <v>0</v>
      </c>
    </row>
    <row r="134" spans="1:19" s="52" customFormat="1" outlineLevel="1" collapsed="1" x14ac:dyDescent="0.25">
      <c r="A134" s="89"/>
      <c r="B134" s="118" t="s">
        <v>5</v>
      </c>
      <c r="C134" s="66"/>
      <c r="D134" s="66"/>
      <c r="E134" s="66"/>
      <c r="F134" s="29"/>
      <c r="G134" s="125"/>
      <c r="H134" s="29"/>
      <c r="I134" s="30"/>
      <c r="J134" s="29"/>
      <c r="K134" s="30"/>
      <c r="L134" s="30"/>
      <c r="M134" s="29"/>
      <c r="N134" s="29"/>
      <c r="O134" s="16"/>
      <c r="P134" s="165"/>
      <c r="Q134" s="97">
        <f t="shared" si="53"/>
        <v>0</v>
      </c>
      <c r="R134" s="97">
        <f t="shared" si="54"/>
        <v>0</v>
      </c>
      <c r="S134" s="115">
        <f t="shared" si="52"/>
        <v>0</v>
      </c>
    </row>
    <row r="135" spans="1:19" s="51" customFormat="1" ht="125.25" customHeight="1" x14ac:dyDescent="0.25">
      <c r="A135" s="89" t="s">
        <v>81</v>
      </c>
      <c r="B135" s="86" t="s">
        <v>70</v>
      </c>
      <c r="C135" s="50"/>
      <c r="D135" s="50"/>
      <c r="E135" s="50"/>
      <c r="F135" s="78">
        <f t="shared" ref="F135:H135" si="77">SUM(F136:F140)</f>
        <v>5950.76</v>
      </c>
      <c r="G135" s="78">
        <f t="shared" si="77"/>
        <v>5950.76</v>
      </c>
      <c r="H135" s="78">
        <f t="shared" si="77"/>
        <v>5950.76</v>
      </c>
      <c r="I135" s="82">
        <f t="shared" si="70"/>
        <v>1</v>
      </c>
      <c r="J135" s="78">
        <f>SUM(J136:J140)</f>
        <v>5794.61</v>
      </c>
      <c r="K135" s="82">
        <f t="shared" si="71"/>
        <v>0.97</v>
      </c>
      <c r="L135" s="78">
        <f>SUM(L136:L140)</f>
        <v>5794.61</v>
      </c>
      <c r="M135" s="78">
        <f>SUM(M136:M140)</f>
        <v>5950.76</v>
      </c>
      <c r="N135" s="78">
        <f t="shared" si="65"/>
        <v>0</v>
      </c>
      <c r="O135" s="78">
        <f t="shared" ref="O135" si="78">O136+O137+O138+O139+O140</f>
        <v>156.15</v>
      </c>
      <c r="P135" s="163" t="s">
        <v>128</v>
      </c>
      <c r="Q135" s="97">
        <f t="shared" si="53"/>
        <v>156.15</v>
      </c>
      <c r="R135" s="97">
        <f t="shared" si="54"/>
        <v>0</v>
      </c>
      <c r="S135" s="112">
        <f t="shared" si="52"/>
        <v>156.15</v>
      </c>
    </row>
    <row r="136" spans="1:19" s="47" customFormat="1" ht="25.5" customHeight="1" x14ac:dyDescent="0.25">
      <c r="A136" s="89"/>
      <c r="B136" s="118" t="s">
        <v>4</v>
      </c>
      <c r="C136" s="48"/>
      <c r="D136" s="48"/>
      <c r="E136" s="48"/>
      <c r="F136" s="29">
        <v>4558.03</v>
      </c>
      <c r="G136" s="29">
        <v>4558.03</v>
      </c>
      <c r="H136" s="29">
        <f>G136</f>
        <v>4558.03</v>
      </c>
      <c r="I136" s="30">
        <f t="shared" si="70"/>
        <v>1</v>
      </c>
      <c r="J136" s="29">
        <v>4558.03</v>
      </c>
      <c r="K136" s="30">
        <f t="shared" si="71"/>
        <v>1</v>
      </c>
      <c r="L136" s="29">
        <v>4558.03</v>
      </c>
      <c r="M136" s="29">
        <f>G136</f>
        <v>4558.03</v>
      </c>
      <c r="N136" s="29">
        <f t="shared" si="65"/>
        <v>0</v>
      </c>
      <c r="O136" s="29">
        <f>G136-L136</f>
        <v>0</v>
      </c>
      <c r="P136" s="163"/>
      <c r="Q136" s="97">
        <f t="shared" si="53"/>
        <v>0</v>
      </c>
      <c r="R136" s="97">
        <f t="shared" si="54"/>
        <v>0</v>
      </c>
      <c r="S136" s="112">
        <f t="shared" si="52"/>
        <v>0</v>
      </c>
    </row>
    <row r="137" spans="1:19" s="47" customFormat="1" ht="25.5" customHeight="1" x14ac:dyDescent="0.25">
      <c r="A137" s="89"/>
      <c r="B137" s="118" t="s">
        <v>60</v>
      </c>
      <c r="C137" s="48"/>
      <c r="D137" s="48"/>
      <c r="E137" s="48"/>
      <c r="F137" s="29">
        <v>1392.73</v>
      </c>
      <c r="G137" s="29">
        <v>1392.73</v>
      </c>
      <c r="H137" s="29">
        <f>G137</f>
        <v>1392.73</v>
      </c>
      <c r="I137" s="30">
        <f t="shared" si="70"/>
        <v>1</v>
      </c>
      <c r="J137" s="29">
        <v>1236.58</v>
      </c>
      <c r="K137" s="30">
        <f t="shared" si="71"/>
        <v>0.89</v>
      </c>
      <c r="L137" s="29">
        <v>1236.58</v>
      </c>
      <c r="M137" s="29">
        <f>G137</f>
        <v>1392.73</v>
      </c>
      <c r="N137" s="29">
        <f t="shared" si="65"/>
        <v>0</v>
      </c>
      <c r="O137" s="29">
        <f>G137-L137</f>
        <v>156.15</v>
      </c>
      <c r="P137" s="163"/>
      <c r="Q137" s="97">
        <f t="shared" si="53"/>
        <v>156.15</v>
      </c>
      <c r="R137" s="97">
        <f t="shared" si="54"/>
        <v>0</v>
      </c>
      <c r="S137" s="112">
        <f t="shared" ref="S137:S168" si="79">H137-J137</f>
        <v>156.15</v>
      </c>
    </row>
    <row r="138" spans="1:19" s="47" customFormat="1" ht="25.5" customHeight="1" x14ac:dyDescent="0.25">
      <c r="A138" s="89"/>
      <c r="B138" s="118" t="s">
        <v>62</v>
      </c>
      <c r="C138" s="48"/>
      <c r="D138" s="48"/>
      <c r="E138" s="48"/>
      <c r="F138" s="29"/>
      <c r="G138" s="29"/>
      <c r="H138" s="29"/>
      <c r="I138" s="30"/>
      <c r="J138" s="29"/>
      <c r="K138" s="30"/>
      <c r="L138" s="30"/>
      <c r="M138" s="29"/>
      <c r="N138" s="29"/>
      <c r="O138" s="29">
        <f t="shared" ref="O138" si="80">G138-L138</f>
        <v>0</v>
      </c>
      <c r="P138" s="163"/>
      <c r="Q138" s="97">
        <f t="shared" si="53"/>
        <v>0</v>
      </c>
      <c r="R138" s="97">
        <f t="shared" si="54"/>
        <v>0</v>
      </c>
      <c r="S138" s="112">
        <f t="shared" si="79"/>
        <v>0</v>
      </c>
    </row>
    <row r="139" spans="1:19" s="47" customFormat="1" ht="25.5" customHeight="1" x14ac:dyDescent="0.25">
      <c r="A139" s="89"/>
      <c r="B139" s="118" t="s">
        <v>13</v>
      </c>
      <c r="C139" s="48"/>
      <c r="D139" s="48"/>
      <c r="E139" s="48"/>
      <c r="F139" s="29"/>
      <c r="G139" s="125"/>
      <c r="H139" s="29"/>
      <c r="I139" s="30"/>
      <c r="J139" s="29"/>
      <c r="K139" s="30"/>
      <c r="L139" s="30"/>
      <c r="M139" s="29"/>
      <c r="N139" s="29"/>
      <c r="O139" s="29"/>
      <c r="P139" s="163"/>
      <c r="Q139" s="97">
        <f t="shared" si="53"/>
        <v>0</v>
      </c>
      <c r="R139" s="97">
        <f t="shared" si="54"/>
        <v>0</v>
      </c>
      <c r="S139" s="112">
        <f t="shared" si="79"/>
        <v>0</v>
      </c>
    </row>
    <row r="140" spans="1:19" s="47" customFormat="1" ht="25.5" customHeight="1" x14ac:dyDescent="0.25">
      <c r="A140" s="89"/>
      <c r="B140" s="118" t="s">
        <v>5</v>
      </c>
      <c r="C140" s="48"/>
      <c r="D140" s="48"/>
      <c r="E140" s="48"/>
      <c r="F140" s="29"/>
      <c r="G140" s="125"/>
      <c r="H140" s="29"/>
      <c r="I140" s="30"/>
      <c r="J140" s="29"/>
      <c r="K140" s="30"/>
      <c r="L140" s="30"/>
      <c r="M140" s="29"/>
      <c r="N140" s="29"/>
      <c r="O140" s="29"/>
      <c r="P140" s="163"/>
      <c r="Q140" s="97">
        <f t="shared" ref="Q140:Q171" si="81">G140-L140</f>
        <v>0</v>
      </c>
      <c r="R140" s="97">
        <f t="shared" si="54"/>
        <v>0</v>
      </c>
      <c r="S140" s="112">
        <f t="shared" si="79"/>
        <v>0</v>
      </c>
    </row>
    <row r="141" spans="1:19" s="51" customFormat="1" ht="80.25" customHeight="1" x14ac:dyDescent="0.25">
      <c r="A141" s="89" t="s">
        <v>82</v>
      </c>
      <c r="B141" s="86" t="s">
        <v>112</v>
      </c>
      <c r="C141" s="50"/>
      <c r="D141" s="50"/>
      <c r="E141" s="50"/>
      <c r="F141" s="78">
        <f t="shared" ref="F141:H141" si="82">SUM(F142:F146)</f>
        <v>2438.1</v>
      </c>
      <c r="G141" s="78">
        <f t="shared" si="82"/>
        <v>2438.1</v>
      </c>
      <c r="H141" s="78">
        <f t="shared" si="82"/>
        <v>0</v>
      </c>
      <c r="I141" s="82">
        <f t="shared" si="70"/>
        <v>0</v>
      </c>
      <c r="J141" s="78">
        <f>SUM(J142:J146)</f>
        <v>0</v>
      </c>
      <c r="K141" s="82">
        <f t="shared" si="71"/>
        <v>0</v>
      </c>
      <c r="L141" s="82"/>
      <c r="M141" s="78">
        <f>SUM(M142:M146)</f>
        <v>2438.1</v>
      </c>
      <c r="N141" s="78">
        <f t="shared" si="65"/>
        <v>0</v>
      </c>
      <c r="O141" s="78">
        <f t="shared" ref="O141" si="83">O142+O143+O144+O145+O146</f>
        <v>2438.1</v>
      </c>
      <c r="P141" s="178" t="s">
        <v>99</v>
      </c>
      <c r="Q141" s="97">
        <f t="shared" si="81"/>
        <v>2438.1</v>
      </c>
      <c r="R141" s="97">
        <f t="shared" si="54"/>
        <v>0</v>
      </c>
      <c r="S141" s="112">
        <f t="shared" si="79"/>
        <v>0</v>
      </c>
    </row>
    <row r="142" spans="1:19" s="47" customFormat="1" x14ac:dyDescent="0.25">
      <c r="A142" s="90"/>
      <c r="B142" s="118" t="s">
        <v>4</v>
      </c>
      <c r="C142" s="48"/>
      <c r="D142" s="48"/>
      <c r="E142" s="48"/>
      <c r="F142" s="29">
        <v>2438.1</v>
      </c>
      <c r="G142" s="29">
        <v>2438.1</v>
      </c>
      <c r="H142" s="29"/>
      <c r="I142" s="30">
        <f t="shared" si="70"/>
        <v>0</v>
      </c>
      <c r="J142" s="29"/>
      <c r="K142" s="30">
        <f t="shared" si="71"/>
        <v>0</v>
      </c>
      <c r="L142" s="30">
        <v>0</v>
      </c>
      <c r="M142" s="29">
        <f>G142</f>
        <v>2438.1</v>
      </c>
      <c r="N142" s="29">
        <f t="shared" si="65"/>
        <v>0</v>
      </c>
      <c r="O142" s="29">
        <f>G142-L142</f>
        <v>2438.1</v>
      </c>
      <c r="P142" s="64"/>
      <c r="Q142" s="97">
        <f t="shared" si="81"/>
        <v>2438.1</v>
      </c>
      <c r="R142" s="97">
        <f t="shared" ref="R142:R197" si="84">O142-Q142</f>
        <v>0</v>
      </c>
      <c r="S142" s="112">
        <f t="shared" si="79"/>
        <v>0</v>
      </c>
    </row>
    <row r="143" spans="1:19" s="47" customFormat="1" x14ac:dyDescent="0.25">
      <c r="A143" s="90"/>
      <c r="B143" s="118" t="s">
        <v>60</v>
      </c>
      <c r="C143" s="48"/>
      <c r="D143" s="48"/>
      <c r="E143" s="48"/>
      <c r="F143" s="29"/>
      <c r="G143" s="29"/>
      <c r="H143" s="29"/>
      <c r="I143" s="30"/>
      <c r="J143" s="29"/>
      <c r="K143" s="30"/>
      <c r="L143" s="30"/>
      <c r="M143" s="29"/>
      <c r="N143" s="29"/>
      <c r="O143" s="29">
        <f>G143-L143</f>
        <v>0</v>
      </c>
      <c r="P143" s="64"/>
      <c r="Q143" s="97">
        <f t="shared" si="81"/>
        <v>0</v>
      </c>
      <c r="R143" s="97">
        <f t="shared" si="84"/>
        <v>0</v>
      </c>
      <c r="S143" s="112">
        <f t="shared" si="79"/>
        <v>0</v>
      </c>
    </row>
    <row r="144" spans="1:19" s="47" customFormat="1" x14ac:dyDescent="0.25">
      <c r="A144" s="90"/>
      <c r="B144" s="118" t="s">
        <v>62</v>
      </c>
      <c r="C144" s="48"/>
      <c r="D144" s="48"/>
      <c r="E144" s="48"/>
      <c r="F144" s="29"/>
      <c r="G144" s="29"/>
      <c r="H144" s="29"/>
      <c r="I144" s="30"/>
      <c r="J144" s="29"/>
      <c r="K144" s="30"/>
      <c r="L144" s="30"/>
      <c r="M144" s="29"/>
      <c r="N144" s="29"/>
      <c r="O144" s="29">
        <f t="shared" ref="O144" si="85">G144-L144</f>
        <v>0</v>
      </c>
      <c r="P144" s="64"/>
      <c r="Q144" s="97">
        <f t="shared" si="81"/>
        <v>0</v>
      </c>
      <c r="R144" s="97">
        <f t="shared" si="84"/>
        <v>0</v>
      </c>
      <c r="S144" s="112">
        <f t="shared" si="79"/>
        <v>0</v>
      </c>
    </row>
    <row r="145" spans="1:19" s="47" customFormat="1" x14ac:dyDescent="0.25">
      <c r="A145" s="90"/>
      <c r="B145" s="118" t="s">
        <v>13</v>
      </c>
      <c r="C145" s="48"/>
      <c r="D145" s="48"/>
      <c r="E145" s="48"/>
      <c r="F145" s="29"/>
      <c r="G145" s="125"/>
      <c r="H145" s="29"/>
      <c r="I145" s="30"/>
      <c r="J145" s="29"/>
      <c r="K145" s="30"/>
      <c r="L145" s="30"/>
      <c r="M145" s="29"/>
      <c r="N145" s="29"/>
      <c r="O145" s="29"/>
      <c r="P145" s="64"/>
      <c r="Q145" s="97">
        <f t="shared" si="81"/>
        <v>0</v>
      </c>
      <c r="R145" s="97">
        <f t="shared" si="84"/>
        <v>0</v>
      </c>
      <c r="S145" s="112">
        <f t="shared" si="79"/>
        <v>0</v>
      </c>
    </row>
    <row r="146" spans="1:19" s="47" customFormat="1" x14ac:dyDescent="0.25">
      <c r="A146" s="90"/>
      <c r="B146" s="118" t="s">
        <v>5</v>
      </c>
      <c r="C146" s="48"/>
      <c r="D146" s="48"/>
      <c r="E146" s="48"/>
      <c r="F146" s="29"/>
      <c r="G146" s="125"/>
      <c r="H146" s="29"/>
      <c r="I146" s="30"/>
      <c r="J146" s="29"/>
      <c r="K146" s="30"/>
      <c r="L146" s="30"/>
      <c r="M146" s="29"/>
      <c r="N146" s="29"/>
      <c r="O146" s="29"/>
      <c r="P146" s="64"/>
      <c r="Q146" s="97">
        <f t="shared" si="81"/>
        <v>0</v>
      </c>
      <c r="R146" s="97">
        <f t="shared" si="84"/>
        <v>0</v>
      </c>
      <c r="S146" s="112">
        <f t="shared" si="79"/>
        <v>0</v>
      </c>
    </row>
    <row r="147" spans="1:19" s="44" customFormat="1" ht="364.5" customHeight="1" x14ac:dyDescent="0.25">
      <c r="A147" s="166" t="s">
        <v>24</v>
      </c>
      <c r="B147" s="158" t="s">
        <v>92</v>
      </c>
      <c r="C147" s="15">
        <f>SUM(C149:C153)</f>
        <v>0</v>
      </c>
      <c r="D147" s="15">
        <f>SUM(D149:D153)</f>
        <v>0</v>
      </c>
      <c r="E147" s="15">
        <f>SUM(E149:E153)</f>
        <v>0</v>
      </c>
      <c r="F147" s="132">
        <f>SUM(F149:F153)</f>
        <v>291822.59000000003</v>
      </c>
      <c r="G147" s="132">
        <f>SUM(G149:G153)</f>
        <v>316073.32</v>
      </c>
      <c r="H147" s="134">
        <f t="shared" ref="H147:J147" si="86">SUM(H149:H153)</f>
        <v>222234.6</v>
      </c>
      <c r="I147" s="136">
        <f t="shared" si="70"/>
        <v>0.7</v>
      </c>
      <c r="J147" s="134">
        <f t="shared" si="86"/>
        <v>208363.95</v>
      </c>
      <c r="K147" s="136">
        <f t="shared" si="71"/>
        <v>0.66</v>
      </c>
      <c r="L147" s="179">
        <f>L149+L150+L151+L152+L153</f>
        <v>281751.82</v>
      </c>
      <c r="M147" s="180"/>
      <c r="N147" s="180"/>
      <c r="O147" s="179">
        <f>SUM(O149:O153)</f>
        <v>34321.5</v>
      </c>
      <c r="P147" s="131" t="s">
        <v>126</v>
      </c>
      <c r="Q147" s="97">
        <f t="shared" si="81"/>
        <v>34321.5</v>
      </c>
      <c r="R147" s="97">
        <f t="shared" si="84"/>
        <v>0</v>
      </c>
      <c r="S147" s="112">
        <f t="shared" si="79"/>
        <v>13870.65</v>
      </c>
    </row>
    <row r="148" spans="1:19" s="44" customFormat="1" ht="83.25" customHeight="1" x14ac:dyDescent="0.25">
      <c r="A148" s="166"/>
      <c r="B148" s="160"/>
      <c r="C148" s="15"/>
      <c r="D148" s="15"/>
      <c r="E148" s="15"/>
      <c r="F148" s="133"/>
      <c r="G148" s="133"/>
      <c r="H148" s="135"/>
      <c r="I148" s="137"/>
      <c r="J148" s="135"/>
      <c r="K148" s="137"/>
      <c r="L148" s="181"/>
      <c r="M148" s="180"/>
      <c r="N148" s="180"/>
      <c r="O148" s="181"/>
      <c r="P148" s="131"/>
      <c r="Q148" s="97">
        <f t="shared" si="81"/>
        <v>0</v>
      </c>
      <c r="R148" s="97">
        <f t="shared" si="84"/>
        <v>0</v>
      </c>
      <c r="S148" s="112">
        <f t="shared" si="79"/>
        <v>0</v>
      </c>
    </row>
    <row r="149" spans="1:19" s="41" customFormat="1" ht="27" customHeight="1" x14ac:dyDescent="0.25">
      <c r="A149" s="166"/>
      <c r="B149" s="116" t="s">
        <v>4</v>
      </c>
      <c r="C149" s="16"/>
      <c r="D149" s="16"/>
      <c r="E149" s="15"/>
      <c r="F149" s="29"/>
      <c r="G149" s="29"/>
      <c r="H149" s="16"/>
      <c r="I149" s="18"/>
      <c r="J149" s="16"/>
      <c r="K149" s="18"/>
      <c r="L149" s="182"/>
      <c r="M149" s="16"/>
      <c r="N149" s="16"/>
      <c r="O149" s="182">
        <f>G149-L149</f>
        <v>0</v>
      </c>
      <c r="P149" s="183"/>
      <c r="Q149" s="97">
        <f t="shared" si="81"/>
        <v>0</v>
      </c>
      <c r="R149" s="97">
        <f t="shared" si="84"/>
        <v>0</v>
      </c>
      <c r="S149" s="112">
        <f t="shared" si="79"/>
        <v>0</v>
      </c>
    </row>
    <row r="150" spans="1:19" s="41" customFormat="1" ht="27" customHeight="1" x14ac:dyDescent="0.25">
      <c r="A150" s="166"/>
      <c r="B150" s="116" t="s">
        <v>16</v>
      </c>
      <c r="C150" s="16"/>
      <c r="D150" s="16"/>
      <c r="E150" s="15"/>
      <c r="F150" s="29">
        <v>128596.7</v>
      </c>
      <c r="G150" s="29">
        <v>128596.7</v>
      </c>
      <c r="H150" s="16">
        <v>90742.59</v>
      </c>
      <c r="I150" s="18">
        <f>H150/G150</f>
        <v>0.71</v>
      </c>
      <c r="J150" s="16">
        <v>76871.94</v>
      </c>
      <c r="K150" s="18">
        <f>J150/G150</f>
        <v>0.6</v>
      </c>
      <c r="L150" s="16">
        <f>99943.53+19263.3</f>
        <v>119206.83</v>
      </c>
      <c r="M150" s="16"/>
      <c r="N150" s="16"/>
      <c r="O150" s="29">
        <f>G150-L150</f>
        <v>9389.8700000000008</v>
      </c>
      <c r="P150" s="183"/>
      <c r="Q150" s="97">
        <f t="shared" si="81"/>
        <v>9389.8700000000008</v>
      </c>
      <c r="R150" s="97">
        <f t="shared" si="84"/>
        <v>0</v>
      </c>
      <c r="S150" s="112">
        <f t="shared" si="79"/>
        <v>13870.65</v>
      </c>
    </row>
    <row r="151" spans="1:19" s="41" customFormat="1" ht="27" customHeight="1" x14ac:dyDescent="0.25">
      <c r="A151" s="166"/>
      <c r="B151" s="116" t="s">
        <v>11</v>
      </c>
      <c r="C151" s="16"/>
      <c r="D151" s="16"/>
      <c r="E151" s="15"/>
      <c r="F151" s="29">
        <f>38663.42+12838.38</f>
        <v>51501.8</v>
      </c>
      <c r="G151" s="29">
        <v>68205.88</v>
      </c>
      <c r="H151" s="16">
        <f>J151</f>
        <v>43587.35</v>
      </c>
      <c r="I151" s="18">
        <f>H151/G151</f>
        <v>0.64</v>
      </c>
      <c r="J151" s="16">
        <v>43587.35</v>
      </c>
      <c r="K151" s="18">
        <f>J151/G151</f>
        <v>0.64</v>
      </c>
      <c r="L151" s="16">
        <v>57878.06</v>
      </c>
      <c r="M151" s="16"/>
      <c r="N151" s="16"/>
      <c r="O151" s="29">
        <f>G151-L151</f>
        <v>10327.82</v>
      </c>
      <c r="P151" s="183"/>
      <c r="Q151" s="97">
        <f t="shared" si="81"/>
        <v>10327.82</v>
      </c>
      <c r="R151" s="97">
        <f t="shared" si="84"/>
        <v>0</v>
      </c>
      <c r="S151" s="112">
        <f t="shared" si="79"/>
        <v>0</v>
      </c>
    </row>
    <row r="152" spans="1:19" s="41" customFormat="1" ht="27" customHeight="1" x14ac:dyDescent="0.25">
      <c r="A152" s="166"/>
      <c r="B152" s="116" t="s">
        <v>13</v>
      </c>
      <c r="C152" s="16"/>
      <c r="D152" s="16"/>
      <c r="E152" s="16"/>
      <c r="F152" s="29"/>
      <c r="G152" s="29"/>
      <c r="H152" s="67"/>
      <c r="I152" s="18"/>
      <c r="J152" s="67"/>
      <c r="K152" s="18"/>
      <c r="L152" s="16"/>
      <c r="M152" s="16"/>
      <c r="N152" s="16"/>
      <c r="O152" s="16">
        <f>G152-L152</f>
        <v>0</v>
      </c>
      <c r="P152" s="183"/>
      <c r="Q152" s="97">
        <f t="shared" si="81"/>
        <v>0</v>
      </c>
      <c r="R152" s="97">
        <f t="shared" si="84"/>
        <v>0</v>
      </c>
      <c r="S152" s="112">
        <f t="shared" si="79"/>
        <v>0</v>
      </c>
    </row>
    <row r="153" spans="1:19" s="41" customFormat="1" ht="27" customHeight="1" x14ac:dyDescent="0.25">
      <c r="A153" s="166"/>
      <c r="B153" s="116" t="s">
        <v>5</v>
      </c>
      <c r="C153" s="16"/>
      <c r="D153" s="16"/>
      <c r="E153" s="16"/>
      <c r="F153" s="16">
        <v>111724.09</v>
      </c>
      <c r="G153" s="16">
        <v>119270.74</v>
      </c>
      <c r="H153" s="16">
        <v>87904.66</v>
      </c>
      <c r="I153" s="18">
        <f t="shared" ref="I153:I159" si="87">H153/G153</f>
        <v>0.74</v>
      </c>
      <c r="J153" s="16">
        <v>87904.66</v>
      </c>
      <c r="K153" s="18">
        <f t="shared" ref="K153:K159" si="88">J153/G153</f>
        <v>0.74</v>
      </c>
      <c r="L153" s="16">
        <v>104666.93</v>
      </c>
      <c r="M153" s="16"/>
      <c r="N153" s="16"/>
      <c r="O153" s="16">
        <f>G153-L153</f>
        <v>14603.81</v>
      </c>
      <c r="P153" s="183"/>
      <c r="Q153" s="97">
        <f t="shared" si="81"/>
        <v>14603.81</v>
      </c>
      <c r="R153" s="97">
        <f t="shared" si="84"/>
        <v>0</v>
      </c>
      <c r="S153" s="112">
        <f t="shared" si="79"/>
        <v>0</v>
      </c>
    </row>
    <row r="154" spans="1:19" s="44" customFormat="1" ht="409.5" customHeight="1" x14ac:dyDescent="0.25">
      <c r="A154" s="161" t="s">
        <v>25</v>
      </c>
      <c r="B154" s="167" t="s">
        <v>101</v>
      </c>
      <c r="C154" s="125"/>
      <c r="D154" s="125"/>
      <c r="E154" s="125"/>
      <c r="F154" s="132">
        <f>F156+F157+F158+F159+F160</f>
        <v>61670.879999999997</v>
      </c>
      <c r="G154" s="132">
        <f>G156+G157+G158+G159+G160</f>
        <v>66456.399999999994</v>
      </c>
      <c r="H154" s="132">
        <f>H156+H157+H158+H159+H160</f>
        <v>56327.11</v>
      </c>
      <c r="I154" s="169">
        <f t="shared" si="87"/>
        <v>0.85</v>
      </c>
      <c r="J154" s="132">
        <f>J156+J157+J158+J159+J160</f>
        <v>54170.48</v>
      </c>
      <c r="K154" s="169">
        <f t="shared" si="88"/>
        <v>0.82</v>
      </c>
      <c r="L154" s="138">
        <f>L156+L157+L158+L159+L160</f>
        <v>66456.399999999994</v>
      </c>
      <c r="M154" s="125">
        <f>M156+M157+M158+M159+M160</f>
        <v>0</v>
      </c>
      <c r="N154" s="125">
        <f>N156+N157+N158+N159+N160</f>
        <v>0</v>
      </c>
      <c r="O154" s="138">
        <f>O157+O156+O158+O159+O160</f>
        <v>0</v>
      </c>
      <c r="P154" s="126" t="s">
        <v>115</v>
      </c>
      <c r="Q154" s="97">
        <f t="shared" si="81"/>
        <v>0</v>
      </c>
      <c r="R154" s="97">
        <f t="shared" si="84"/>
        <v>0</v>
      </c>
      <c r="S154" s="112">
        <f t="shared" si="79"/>
        <v>2156.63</v>
      </c>
    </row>
    <row r="155" spans="1:19" s="44" customFormat="1" ht="190.5" customHeight="1" x14ac:dyDescent="0.25">
      <c r="A155" s="162"/>
      <c r="B155" s="168"/>
      <c r="C155" s="125"/>
      <c r="D155" s="125"/>
      <c r="E155" s="125"/>
      <c r="F155" s="133"/>
      <c r="G155" s="133"/>
      <c r="H155" s="133"/>
      <c r="I155" s="170"/>
      <c r="J155" s="133"/>
      <c r="K155" s="170"/>
      <c r="L155" s="138"/>
      <c r="M155" s="125"/>
      <c r="N155" s="125"/>
      <c r="O155" s="138"/>
      <c r="P155" s="127"/>
      <c r="Q155" s="97">
        <f t="shared" si="81"/>
        <v>0</v>
      </c>
      <c r="R155" s="97">
        <f t="shared" si="84"/>
        <v>0</v>
      </c>
      <c r="S155" s="112">
        <f t="shared" si="79"/>
        <v>0</v>
      </c>
    </row>
    <row r="156" spans="1:19" s="41" customFormat="1" ht="39.75" customHeight="1" x14ac:dyDescent="0.25">
      <c r="A156" s="56"/>
      <c r="B156" s="116" t="s">
        <v>4</v>
      </c>
      <c r="C156" s="125"/>
      <c r="D156" s="125"/>
      <c r="E156" s="125"/>
      <c r="F156" s="29">
        <v>19563.2</v>
      </c>
      <c r="G156" s="29">
        <v>19563.2</v>
      </c>
      <c r="H156" s="29">
        <v>16959.8</v>
      </c>
      <c r="I156" s="30">
        <f>H156/G156</f>
        <v>0.87</v>
      </c>
      <c r="J156" s="29">
        <v>16877.009999999998</v>
      </c>
      <c r="K156" s="30">
        <f t="shared" si="88"/>
        <v>0.86</v>
      </c>
      <c r="L156" s="29">
        <v>19563.2</v>
      </c>
      <c r="M156" s="16"/>
      <c r="N156" s="16"/>
      <c r="O156" s="29">
        <f>G156-L156</f>
        <v>0</v>
      </c>
      <c r="P156" s="127"/>
      <c r="Q156" s="97">
        <f t="shared" si="81"/>
        <v>0</v>
      </c>
      <c r="R156" s="97">
        <f t="shared" si="84"/>
        <v>0</v>
      </c>
      <c r="S156" s="112">
        <f t="shared" si="79"/>
        <v>82.79</v>
      </c>
    </row>
    <row r="157" spans="1:19" s="41" customFormat="1" ht="39.75" customHeight="1" x14ac:dyDescent="0.25">
      <c r="A157" s="57"/>
      <c r="B157" s="116" t="s">
        <v>16</v>
      </c>
      <c r="C157" s="125"/>
      <c r="D157" s="125"/>
      <c r="E157" s="125"/>
      <c r="F157" s="29">
        <v>21241.200000000001</v>
      </c>
      <c r="G157" s="29">
        <v>22241.200000000001</v>
      </c>
      <c r="H157" s="29">
        <v>19195.45</v>
      </c>
      <c r="I157" s="30">
        <f t="shared" si="87"/>
        <v>0.86</v>
      </c>
      <c r="J157" s="29">
        <v>17121.61</v>
      </c>
      <c r="K157" s="30">
        <f t="shared" si="88"/>
        <v>0.77</v>
      </c>
      <c r="L157" s="29">
        <f>14432.29+4756.8+1100+1952.11</f>
        <v>22241.200000000001</v>
      </c>
      <c r="M157" s="16"/>
      <c r="N157" s="16"/>
      <c r="O157" s="29">
        <f>G157-L157</f>
        <v>0</v>
      </c>
      <c r="P157" s="127"/>
      <c r="Q157" s="97">
        <f t="shared" si="81"/>
        <v>0</v>
      </c>
      <c r="R157" s="97">
        <f t="shared" si="84"/>
        <v>0</v>
      </c>
      <c r="S157" s="112">
        <f t="shared" si="79"/>
        <v>2073.84</v>
      </c>
    </row>
    <row r="158" spans="1:19" s="41" customFormat="1" ht="39.75" customHeight="1" x14ac:dyDescent="0.25">
      <c r="A158" s="57"/>
      <c r="B158" s="116" t="s">
        <v>11</v>
      </c>
      <c r="C158" s="125"/>
      <c r="D158" s="125"/>
      <c r="E158" s="125"/>
      <c r="F158" s="29">
        <f>273.6+1078.6</f>
        <v>1352.2</v>
      </c>
      <c r="G158" s="29">
        <f>273.6+1078.6</f>
        <v>1352.2</v>
      </c>
      <c r="H158" s="29">
        <v>1028.4000000000001</v>
      </c>
      <c r="I158" s="30">
        <f t="shared" si="87"/>
        <v>0.76</v>
      </c>
      <c r="J158" s="29">
        <v>1028.4000000000001</v>
      </c>
      <c r="K158" s="30">
        <f t="shared" si="88"/>
        <v>0.76</v>
      </c>
      <c r="L158" s="29">
        <f>1102.2+250</f>
        <v>1352.2</v>
      </c>
      <c r="M158" s="16"/>
      <c r="N158" s="16"/>
      <c r="O158" s="29">
        <f>G158-L158</f>
        <v>0</v>
      </c>
      <c r="P158" s="127"/>
      <c r="Q158" s="97">
        <f t="shared" si="81"/>
        <v>0</v>
      </c>
      <c r="R158" s="97">
        <f t="shared" si="84"/>
        <v>0</v>
      </c>
      <c r="S158" s="112">
        <f t="shared" si="79"/>
        <v>0</v>
      </c>
    </row>
    <row r="159" spans="1:19" s="41" customFormat="1" ht="39.75" customHeight="1" x14ac:dyDescent="0.25">
      <c r="A159" s="57"/>
      <c r="B159" s="116" t="s">
        <v>13</v>
      </c>
      <c r="C159" s="125"/>
      <c r="D159" s="125"/>
      <c r="E159" s="125"/>
      <c r="F159" s="29">
        <f>20866.48-F158</f>
        <v>19514.28</v>
      </c>
      <c r="G159" s="29">
        <f>24652-G158</f>
        <v>23299.8</v>
      </c>
      <c r="H159" s="29">
        <f>20171.86-H158</f>
        <v>19143.46</v>
      </c>
      <c r="I159" s="30">
        <f t="shared" si="87"/>
        <v>0.82</v>
      </c>
      <c r="J159" s="29">
        <f>H159</f>
        <v>19143.46</v>
      </c>
      <c r="K159" s="30">
        <f t="shared" si="88"/>
        <v>0.82</v>
      </c>
      <c r="L159" s="29">
        <f>G159</f>
        <v>23299.8</v>
      </c>
      <c r="M159" s="16"/>
      <c r="N159" s="16"/>
      <c r="O159" s="29">
        <f>G159-L159</f>
        <v>0</v>
      </c>
      <c r="P159" s="127"/>
      <c r="Q159" s="97">
        <f t="shared" si="81"/>
        <v>0</v>
      </c>
      <c r="R159" s="97">
        <f t="shared" si="84"/>
        <v>0</v>
      </c>
      <c r="S159" s="112">
        <f t="shared" si="79"/>
        <v>0</v>
      </c>
    </row>
    <row r="160" spans="1:19" s="41" customFormat="1" ht="39.75" customHeight="1" x14ac:dyDescent="0.25">
      <c r="A160" s="57"/>
      <c r="B160" s="116" t="s">
        <v>5</v>
      </c>
      <c r="C160" s="29"/>
      <c r="D160" s="29"/>
      <c r="E160" s="29"/>
      <c r="F160" s="29"/>
      <c r="G160" s="29"/>
      <c r="H160" s="29"/>
      <c r="I160" s="30"/>
      <c r="J160" s="29"/>
      <c r="K160" s="30"/>
      <c r="L160" s="29"/>
      <c r="M160" s="16"/>
      <c r="N160" s="16"/>
      <c r="O160" s="99"/>
      <c r="P160" s="127"/>
      <c r="Q160" s="97">
        <f t="shared" si="81"/>
        <v>0</v>
      </c>
      <c r="R160" s="97">
        <f t="shared" si="84"/>
        <v>0</v>
      </c>
      <c r="S160" s="112">
        <f t="shared" si="79"/>
        <v>0</v>
      </c>
    </row>
    <row r="161" spans="1:19" s="44" customFormat="1" ht="111" customHeight="1" x14ac:dyDescent="0.25">
      <c r="A161" s="119" t="s">
        <v>26</v>
      </c>
      <c r="B161" s="75" t="s">
        <v>48</v>
      </c>
      <c r="C161" s="15"/>
      <c r="D161" s="15"/>
      <c r="E161" s="15"/>
      <c r="F161" s="24"/>
      <c r="G161" s="24"/>
      <c r="H161" s="24"/>
      <c r="I161" s="25"/>
      <c r="J161" s="24"/>
      <c r="K161" s="25"/>
      <c r="L161" s="25"/>
      <c r="M161" s="17"/>
      <c r="N161" s="17"/>
      <c r="O161" s="17"/>
      <c r="P161" s="68" t="s">
        <v>59</v>
      </c>
      <c r="Q161" s="97">
        <f t="shared" si="81"/>
        <v>0</v>
      </c>
      <c r="R161" s="97">
        <f t="shared" si="84"/>
        <v>0</v>
      </c>
      <c r="S161" s="112">
        <f t="shared" si="79"/>
        <v>0</v>
      </c>
    </row>
    <row r="162" spans="1:19" s="44" customFormat="1" x14ac:dyDescent="0.25">
      <c r="A162" s="119"/>
      <c r="B162" s="116" t="s">
        <v>4</v>
      </c>
      <c r="C162" s="15"/>
      <c r="D162" s="15"/>
      <c r="E162" s="15"/>
      <c r="F162" s="24"/>
      <c r="G162" s="24"/>
      <c r="H162" s="24"/>
      <c r="I162" s="25"/>
      <c r="J162" s="24"/>
      <c r="K162" s="25"/>
      <c r="L162" s="25"/>
      <c r="M162" s="17"/>
      <c r="N162" s="17"/>
      <c r="O162" s="17"/>
      <c r="P162" s="68"/>
      <c r="Q162" s="97">
        <f t="shared" si="81"/>
        <v>0</v>
      </c>
      <c r="R162" s="97">
        <f t="shared" si="84"/>
        <v>0</v>
      </c>
      <c r="S162" s="112">
        <f t="shared" si="79"/>
        <v>0</v>
      </c>
    </row>
    <row r="163" spans="1:19" s="44" customFormat="1" x14ac:dyDescent="0.25">
      <c r="A163" s="119"/>
      <c r="B163" s="116" t="s">
        <v>16</v>
      </c>
      <c r="C163" s="15"/>
      <c r="D163" s="15"/>
      <c r="E163" s="15"/>
      <c r="F163" s="24"/>
      <c r="G163" s="24"/>
      <c r="H163" s="24"/>
      <c r="I163" s="25"/>
      <c r="J163" s="24"/>
      <c r="K163" s="25"/>
      <c r="L163" s="25"/>
      <c r="M163" s="17"/>
      <c r="N163" s="17"/>
      <c r="O163" s="17"/>
      <c r="P163" s="68"/>
      <c r="Q163" s="97">
        <f t="shared" si="81"/>
        <v>0</v>
      </c>
      <c r="R163" s="97">
        <f t="shared" si="84"/>
        <v>0</v>
      </c>
      <c r="S163" s="112">
        <f t="shared" si="79"/>
        <v>0</v>
      </c>
    </row>
    <row r="164" spans="1:19" s="44" customFormat="1" x14ac:dyDescent="0.25">
      <c r="A164" s="119"/>
      <c r="B164" s="116" t="s">
        <v>11</v>
      </c>
      <c r="C164" s="15"/>
      <c r="D164" s="15"/>
      <c r="E164" s="15"/>
      <c r="F164" s="24"/>
      <c r="G164" s="24"/>
      <c r="H164" s="24"/>
      <c r="I164" s="25"/>
      <c r="J164" s="24"/>
      <c r="K164" s="25"/>
      <c r="L164" s="25"/>
      <c r="M164" s="17"/>
      <c r="N164" s="17"/>
      <c r="O164" s="17"/>
      <c r="P164" s="68"/>
      <c r="Q164" s="97">
        <f t="shared" si="81"/>
        <v>0</v>
      </c>
      <c r="R164" s="97">
        <f t="shared" si="84"/>
        <v>0</v>
      </c>
      <c r="S164" s="112">
        <f t="shared" si="79"/>
        <v>0</v>
      </c>
    </row>
    <row r="165" spans="1:19" s="44" customFormat="1" x14ac:dyDescent="0.25">
      <c r="A165" s="119"/>
      <c r="B165" s="116" t="s">
        <v>13</v>
      </c>
      <c r="C165" s="15"/>
      <c r="D165" s="15"/>
      <c r="E165" s="15"/>
      <c r="F165" s="24"/>
      <c r="G165" s="24"/>
      <c r="H165" s="24"/>
      <c r="I165" s="25"/>
      <c r="J165" s="24"/>
      <c r="K165" s="25"/>
      <c r="L165" s="25"/>
      <c r="M165" s="17"/>
      <c r="N165" s="17"/>
      <c r="O165" s="17"/>
      <c r="P165" s="68"/>
      <c r="Q165" s="97">
        <f t="shared" si="81"/>
        <v>0</v>
      </c>
      <c r="R165" s="97">
        <f t="shared" si="84"/>
        <v>0</v>
      </c>
      <c r="S165" s="112">
        <f t="shared" si="79"/>
        <v>0</v>
      </c>
    </row>
    <row r="166" spans="1:19" s="44" customFormat="1" x14ac:dyDescent="0.25">
      <c r="A166" s="119"/>
      <c r="B166" s="116" t="s">
        <v>5</v>
      </c>
      <c r="C166" s="15"/>
      <c r="D166" s="15"/>
      <c r="E166" s="15"/>
      <c r="F166" s="24"/>
      <c r="G166" s="24"/>
      <c r="H166" s="24"/>
      <c r="I166" s="25"/>
      <c r="J166" s="24"/>
      <c r="K166" s="25"/>
      <c r="L166" s="25"/>
      <c r="M166" s="17"/>
      <c r="N166" s="17"/>
      <c r="O166" s="17"/>
      <c r="P166" s="68"/>
      <c r="Q166" s="97">
        <f t="shared" si="81"/>
        <v>0</v>
      </c>
      <c r="R166" s="97">
        <f t="shared" si="84"/>
        <v>0</v>
      </c>
      <c r="S166" s="112">
        <f t="shared" si="79"/>
        <v>0</v>
      </c>
    </row>
    <row r="167" spans="1:19" s="45" customFormat="1" ht="117" customHeight="1" x14ac:dyDescent="0.25">
      <c r="A167" s="119" t="s">
        <v>27</v>
      </c>
      <c r="B167" s="75" t="s">
        <v>49</v>
      </c>
      <c r="C167" s="15"/>
      <c r="D167" s="15"/>
      <c r="E167" s="15"/>
      <c r="F167" s="24"/>
      <c r="G167" s="24"/>
      <c r="H167" s="24"/>
      <c r="I167" s="25"/>
      <c r="J167" s="24"/>
      <c r="K167" s="25"/>
      <c r="L167" s="25"/>
      <c r="M167" s="17"/>
      <c r="N167" s="17"/>
      <c r="O167" s="17"/>
      <c r="P167" s="68" t="s">
        <v>59</v>
      </c>
      <c r="Q167" s="97">
        <f t="shared" si="81"/>
        <v>0</v>
      </c>
      <c r="R167" s="97">
        <f t="shared" si="84"/>
        <v>0</v>
      </c>
      <c r="S167" s="112">
        <f t="shared" si="79"/>
        <v>0</v>
      </c>
    </row>
    <row r="168" spans="1:19" s="45" customFormat="1" ht="35.25" customHeight="1" x14ac:dyDescent="0.25">
      <c r="A168" s="119"/>
      <c r="B168" s="116" t="s">
        <v>4</v>
      </c>
      <c r="C168" s="15"/>
      <c r="D168" s="15"/>
      <c r="E168" s="15"/>
      <c r="F168" s="24"/>
      <c r="G168" s="24"/>
      <c r="H168" s="24"/>
      <c r="I168" s="25"/>
      <c r="J168" s="24"/>
      <c r="K168" s="25"/>
      <c r="L168" s="25"/>
      <c r="M168" s="17"/>
      <c r="N168" s="17"/>
      <c r="O168" s="17"/>
      <c r="P168" s="68"/>
      <c r="Q168" s="97">
        <f t="shared" si="81"/>
        <v>0</v>
      </c>
      <c r="R168" s="97">
        <f t="shared" si="84"/>
        <v>0</v>
      </c>
      <c r="S168" s="112">
        <f t="shared" si="79"/>
        <v>0</v>
      </c>
    </row>
    <row r="169" spans="1:19" s="45" customFormat="1" ht="35.25" customHeight="1" x14ac:dyDescent="0.25">
      <c r="A169" s="119"/>
      <c r="B169" s="116" t="s">
        <v>16</v>
      </c>
      <c r="C169" s="15"/>
      <c r="D169" s="15"/>
      <c r="E169" s="15"/>
      <c r="F169" s="24"/>
      <c r="G169" s="24"/>
      <c r="H169" s="24"/>
      <c r="I169" s="25"/>
      <c r="J169" s="24"/>
      <c r="K169" s="25"/>
      <c r="L169" s="25"/>
      <c r="M169" s="17"/>
      <c r="N169" s="17"/>
      <c r="O169" s="17"/>
      <c r="P169" s="68"/>
      <c r="Q169" s="97">
        <f t="shared" si="81"/>
        <v>0</v>
      </c>
      <c r="R169" s="97">
        <f t="shared" si="84"/>
        <v>0</v>
      </c>
      <c r="S169" s="112">
        <f t="shared" ref="S169:S197" si="89">H169-J169</f>
        <v>0</v>
      </c>
    </row>
    <row r="170" spans="1:19" s="45" customFormat="1" ht="35.25" customHeight="1" x14ac:dyDescent="0.25">
      <c r="A170" s="119"/>
      <c r="B170" s="116" t="s">
        <v>11</v>
      </c>
      <c r="C170" s="15"/>
      <c r="D170" s="15"/>
      <c r="E170" s="15"/>
      <c r="F170" s="24"/>
      <c r="G170" s="24"/>
      <c r="H170" s="24"/>
      <c r="I170" s="25"/>
      <c r="J170" s="24"/>
      <c r="K170" s="25"/>
      <c r="L170" s="25"/>
      <c r="M170" s="17"/>
      <c r="N170" s="17"/>
      <c r="O170" s="17"/>
      <c r="P170" s="68"/>
      <c r="Q170" s="97">
        <f t="shared" si="81"/>
        <v>0</v>
      </c>
      <c r="R170" s="97">
        <f t="shared" si="84"/>
        <v>0</v>
      </c>
      <c r="S170" s="112">
        <f t="shared" si="89"/>
        <v>0</v>
      </c>
    </row>
    <row r="171" spans="1:19" s="45" customFormat="1" ht="35.25" customHeight="1" x14ac:dyDescent="0.25">
      <c r="A171" s="119"/>
      <c r="B171" s="116" t="s">
        <v>13</v>
      </c>
      <c r="C171" s="15"/>
      <c r="D171" s="15"/>
      <c r="E171" s="15"/>
      <c r="F171" s="24"/>
      <c r="G171" s="24"/>
      <c r="H171" s="24"/>
      <c r="I171" s="25"/>
      <c r="J171" s="24"/>
      <c r="K171" s="25"/>
      <c r="L171" s="25"/>
      <c r="M171" s="17"/>
      <c r="N171" s="17"/>
      <c r="O171" s="17"/>
      <c r="P171" s="68"/>
      <c r="Q171" s="97">
        <f t="shared" si="81"/>
        <v>0</v>
      </c>
      <c r="R171" s="97">
        <f t="shared" si="84"/>
        <v>0</v>
      </c>
      <c r="S171" s="112">
        <f t="shared" si="89"/>
        <v>0</v>
      </c>
    </row>
    <row r="172" spans="1:19" s="45" customFormat="1" ht="35.25" customHeight="1" x14ac:dyDescent="0.25">
      <c r="A172" s="119"/>
      <c r="B172" s="116" t="s">
        <v>5</v>
      </c>
      <c r="C172" s="15"/>
      <c r="D172" s="15"/>
      <c r="E172" s="15"/>
      <c r="F172" s="24"/>
      <c r="G172" s="24"/>
      <c r="H172" s="24"/>
      <c r="I172" s="25"/>
      <c r="J172" s="24"/>
      <c r="K172" s="25"/>
      <c r="L172" s="25"/>
      <c r="M172" s="17"/>
      <c r="N172" s="17"/>
      <c r="O172" s="17"/>
      <c r="P172" s="68"/>
      <c r="Q172" s="97">
        <f t="shared" ref="Q172:Q197" si="90">G172-L172</f>
        <v>0</v>
      </c>
      <c r="R172" s="97">
        <f t="shared" si="84"/>
        <v>0</v>
      </c>
      <c r="S172" s="112">
        <f t="shared" si="89"/>
        <v>0</v>
      </c>
    </row>
    <row r="173" spans="1:19" s="44" customFormat="1" ht="352.5" customHeight="1" x14ac:dyDescent="0.25">
      <c r="A173" s="119" t="s">
        <v>28</v>
      </c>
      <c r="B173" s="101" t="s">
        <v>103</v>
      </c>
      <c r="C173" s="15" t="e">
        <f>SUM(C174:C178)</f>
        <v>#REF!</v>
      </c>
      <c r="D173" s="15" t="e">
        <f>SUM(D174:D178)</f>
        <v>#REF!</v>
      </c>
      <c r="E173" s="15">
        <v>0</v>
      </c>
      <c r="F173" s="15">
        <f>F175+F174+F176+F177+F178</f>
        <v>142882.93</v>
      </c>
      <c r="G173" s="15">
        <f t="shared" ref="G173:O173" si="91">G175+G174+G176+G177+G178</f>
        <v>243173.22</v>
      </c>
      <c r="H173" s="15">
        <f t="shared" si="91"/>
        <v>232163.08</v>
      </c>
      <c r="I173" s="18">
        <f>H173/G173</f>
        <v>0.95</v>
      </c>
      <c r="J173" s="15">
        <f>J175+J174+J176+J177+J178</f>
        <v>155250.07999999999</v>
      </c>
      <c r="K173" s="18">
        <f t="shared" ref="K173" si="92">J173/G173</f>
        <v>0.64</v>
      </c>
      <c r="L173" s="15">
        <f>L175+L174+L176+L177+L178</f>
        <v>243163.96</v>
      </c>
      <c r="M173" s="15">
        <f t="shared" si="91"/>
        <v>0</v>
      </c>
      <c r="N173" s="15">
        <f t="shared" si="91"/>
        <v>0</v>
      </c>
      <c r="O173" s="15">
        <f t="shared" si="91"/>
        <v>9.26</v>
      </c>
      <c r="P173" s="128" t="s">
        <v>122</v>
      </c>
      <c r="Q173" s="97">
        <f t="shared" si="90"/>
        <v>9.26</v>
      </c>
      <c r="R173" s="97">
        <f t="shared" si="84"/>
        <v>0</v>
      </c>
      <c r="S173" s="112">
        <f t="shared" si="89"/>
        <v>76913</v>
      </c>
    </row>
    <row r="174" spans="1:19" s="41" customFormat="1" ht="51.75" customHeight="1" x14ac:dyDescent="0.25">
      <c r="A174" s="58"/>
      <c r="B174" s="116" t="s">
        <v>4</v>
      </c>
      <c r="C174" s="16"/>
      <c r="D174" s="16"/>
      <c r="E174" s="16"/>
      <c r="F174" s="20"/>
      <c r="G174" s="20"/>
      <c r="H174" s="20"/>
      <c r="I174" s="21"/>
      <c r="J174" s="20"/>
      <c r="K174" s="21"/>
      <c r="L174" s="20"/>
      <c r="M174" s="16"/>
      <c r="N174" s="16"/>
      <c r="O174" s="16"/>
      <c r="P174" s="129"/>
      <c r="Q174" s="97">
        <f t="shared" si="90"/>
        <v>0</v>
      </c>
      <c r="R174" s="97">
        <f t="shared" si="84"/>
        <v>0</v>
      </c>
      <c r="S174" s="112">
        <f t="shared" si="89"/>
        <v>0</v>
      </c>
    </row>
    <row r="175" spans="1:19" s="41" customFormat="1" ht="139.5" customHeight="1" x14ac:dyDescent="0.25">
      <c r="A175" s="58"/>
      <c r="B175" s="116" t="s">
        <v>16</v>
      </c>
      <c r="C175" s="16"/>
      <c r="D175" s="16"/>
      <c r="E175" s="16"/>
      <c r="F175" s="29">
        <v>128460.67</v>
      </c>
      <c r="G175" s="29">
        <v>226369.67</v>
      </c>
      <c r="H175" s="29">
        <v>221570.18</v>
      </c>
      <c r="I175" s="18">
        <f>H175/G175</f>
        <v>0.98</v>
      </c>
      <c r="J175" s="29">
        <v>144657.18</v>
      </c>
      <c r="K175" s="18">
        <f>J175/G175</f>
        <v>0.64</v>
      </c>
      <c r="L175" s="29">
        <f>172019.57+9409.6+44940.5-9.26</f>
        <v>226360.41</v>
      </c>
      <c r="M175" s="16"/>
      <c r="N175" s="16"/>
      <c r="O175" s="37">
        <f>G175-L175</f>
        <v>9.26</v>
      </c>
      <c r="P175" s="129" t="s">
        <v>125</v>
      </c>
      <c r="Q175" s="97">
        <f t="shared" si="90"/>
        <v>9.26</v>
      </c>
      <c r="R175" s="97">
        <f t="shared" si="84"/>
        <v>0</v>
      </c>
      <c r="S175" s="112">
        <f t="shared" si="89"/>
        <v>76913</v>
      </c>
    </row>
    <row r="176" spans="1:19" s="41" customFormat="1" ht="134.25" customHeight="1" x14ac:dyDescent="0.25">
      <c r="A176" s="58"/>
      <c r="B176" s="116" t="s">
        <v>11</v>
      </c>
      <c r="C176" s="16" t="e">
        <f>#REF!</f>
        <v>#REF!</v>
      </c>
      <c r="D176" s="16" t="e">
        <f>#REF!</f>
        <v>#REF!</v>
      </c>
      <c r="E176" s="16" t="e">
        <f>#REF!</f>
        <v>#REF!</v>
      </c>
      <c r="F176" s="16">
        <f>14422.26-F177</f>
        <v>10550.48</v>
      </c>
      <c r="G176" s="16">
        <f>16803.55-G177</f>
        <v>12931.77</v>
      </c>
      <c r="H176" s="16">
        <f>J176</f>
        <v>7907.37</v>
      </c>
      <c r="I176" s="30">
        <f>H176/G176</f>
        <v>0.61</v>
      </c>
      <c r="J176" s="16">
        <f>10592.9-J177</f>
        <v>7907.37</v>
      </c>
      <c r="K176" s="18">
        <f>J176/G176</f>
        <v>0.61</v>
      </c>
      <c r="L176" s="29">
        <f>7692.5+5239.27</f>
        <v>12931.77</v>
      </c>
      <c r="M176" s="16"/>
      <c r="N176" s="16"/>
      <c r="O176" s="37">
        <f>G176-L176</f>
        <v>0</v>
      </c>
      <c r="P176" s="129"/>
      <c r="Q176" s="97">
        <f t="shared" si="90"/>
        <v>0</v>
      </c>
      <c r="R176" s="97">
        <f t="shared" si="84"/>
        <v>0</v>
      </c>
      <c r="S176" s="112">
        <f t="shared" si="89"/>
        <v>0</v>
      </c>
    </row>
    <row r="177" spans="1:19" s="41" customFormat="1" ht="126.75" customHeight="1" x14ac:dyDescent="0.25">
      <c r="A177" s="58"/>
      <c r="B177" s="116" t="s">
        <v>13</v>
      </c>
      <c r="C177" s="16"/>
      <c r="D177" s="16"/>
      <c r="E177" s="16"/>
      <c r="F177" s="16">
        <v>3871.78</v>
      </c>
      <c r="G177" s="16">
        <f>F177</f>
        <v>3871.78</v>
      </c>
      <c r="H177" s="16">
        <f>J177</f>
        <v>2685.53</v>
      </c>
      <c r="I177" s="30">
        <f>H177/G177</f>
        <v>0.69</v>
      </c>
      <c r="J177" s="16">
        <v>2685.53</v>
      </c>
      <c r="K177" s="18">
        <f>J177/G177</f>
        <v>0.69</v>
      </c>
      <c r="L177" s="29">
        <f>G177</f>
        <v>3871.78</v>
      </c>
      <c r="M177" s="16"/>
      <c r="N177" s="16"/>
      <c r="O177" s="37">
        <f>G177-L177</f>
        <v>0</v>
      </c>
      <c r="P177" s="129"/>
      <c r="Q177" s="97">
        <f t="shared" si="90"/>
        <v>0</v>
      </c>
      <c r="R177" s="97">
        <f t="shared" si="84"/>
        <v>0</v>
      </c>
      <c r="S177" s="112">
        <f t="shared" si="89"/>
        <v>0</v>
      </c>
    </row>
    <row r="178" spans="1:19" s="41" customFormat="1" ht="119.25" customHeight="1" x14ac:dyDescent="0.25">
      <c r="A178" s="58"/>
      <c r="B178" s="116" t="s">
        <v>5</v>
      </c>
      <c r="C178" s="16"/>
      <c r="D178" s="16"/>
      <c r="E178" s="16"/>
      <c r="F178" s="16"/>
      <c r="G178" s="16"/>
      <c r="H178" s="16"/>
      <c r="I178" s="18"/>
      <c r="J178" s="16"/>
      <c r="K178" s="18"/>
      <c r="L178" s="16"/>
      <c r="M178" s="16"/>
      <c r="N178" s="16"/>
      <c r="O178" s="16"/>
      <c r="P178" s="130"/>
      <c r="Q178" s="97">
        <f t="shared" si="90"/>
        <v>0</v>
      </c>
      <c r="R178" s="97">
        <f t="shared" si="84"/>
        <v>0</v>
      </c>
      <c r="S178" s="112">
        <f t="shared" si="89"/>
        <v>0</v>
      </c>
    </row>
    <row r="179" spans="1:19" s="14" customFormat="1" ht="93.75" customHeight="1" x14ac:dyDescent="0.25">
      <c r="A179" s="119" t="s">
        <v>29</v>
      </c>
      <c r="B179" s="75" t="s">
        <v>50</v>
      </c>
      <c r="C179" s="15" t="e">
        <f>#REF!+#REF!+#REF!+#REF!+#REF!</f>
        <v>#REF!</v>
      </c>
      <c r="D179" s="15" t="e">
        <f>#REF!+#REF!+#REF!+#REF!+#REF!</f>
        <v>#REF!</v>
      </c>
      <c r="E179" s="15" t="e">
        <f>#REF!+#REF!+#REF!+#REF!+#REF!</f>
        <v>#REF!</v>
      </c>
      <c r="F179" s="24"/>
      <c r="G179" s="24"/>
      <c r="H179" s="27"/>
      <c r="I179" s="31"/>
      <c r="J179" s="32"/>
      <c r="K179" s="31"/>
      <c r="L179" s="31"/>
      <c r="M179" s="17"/>
      <c r="N179" s="17"/>
      <c r="O179" s="17"/>
      <c r="P179" s="116" t="s">
        <v>59</v>
      </c>
      <c r="Q179" s="97">
        <f t="shared" si="90"/>
        <v>0</v>
      </c>
      <c r="R179" s="97">
        <f t="shared" si="84"/>
        <v>0</v>
      </c>
      <c r="S179" s="112">
        <f t="shared" si="89"/>
        <v>0</v>
      </c>
    </row>
    <row r="180" spans="1:19" ht="261.75" customHeight="1" x14ac:dyDescent="0.4">
      <c r="A180" s="119" t="s">
        <v>30</v>
      </c>
      <c r="B180" s="75" t="s">
        <v>97</v>
      </c>
      <c r="C180" s="15" t="e">
        <f>SUM(C181:C185)</f>
        <v>#REF!</v>
      </c>
      <c r="D180" s="15" t="e">
        <f>SUM(D181:D185)</f>
        <v>#REF!</v>
      </c>
      <c r="E180" s="15" t="e">
        <f>SUM(E181:E185)</f>
        <v>#REF!</v>
      </c>
      <c r="F180" s="15">
        <f>SUM(F181:F185)</f>
        <v>678129.8</v>
      </c>
      <c r="G180" s="15">
        <f t="shared" ref="G180:N180" si="93">SUM(G181:G185)</f>
        <v>659060.19999999995</v>
      </c>
      <c r="H180" s="15">
        <f t="shared" si="93"/>
        <v>542205.77</v>
      </c>
      <c r="I180" s="39">
        <f>H180/G180</f>
        <v>0.82</v>
      </c>
      <c r="J180" s="15">
        <f t="shared" si="93"/>
        <v>542205.77</v>
      </c>
      <c r="K180" s="39">
        <f>J180/G180</f>
        <v>0.82</v>
      </c>
      <c r="L180" s="15">
        <f>SUM(L181:L185)</f>
        <v>646171.93999999994</v>
      </c>
      <c r="M180" s="15">
        <f t="shared" si="93"/>
        <v>0</v>
      </c>
      <c r="N180" s="15">
        <f t="shared" si="93"/>
        <v>0</v>
      </c>
      <c r="O180" s="15">
        <f>G180-L180</f>
        <v>12888.26</v>
      </c>
      <c r="P180" s="131" t="s">
        <v>129</v>
      </c>
      <c r="Q180" s="97">
        <f t="shared" si="90"/>
        <v>12888.26</v>
      </c>
      <c r="R180" s="97">
        <f t="shared" si="84"/>
        <v>0</v>
      </c>
      <c r="S180" s="113">
        <f t="shared" si="89"/>
        <v>0</v>
      </c>
    </row>
    <row r="181" spans="1:19" ht="78.75" customHeight="1" x14ac:dyDescent="0.4">
      <c r="A181" s="119"/>
      <c r="B181" s="116" t="s">
        <v>4</v>
      </c>
      <c r="C181" s="16" t="e">
        <f>#REF!</f>
        <v>#REF!</v>
      </c>
      <c r="D181" s="16" t="e">
        <f>#REF!</f>
        <v>#REF!</v>
      </c>
      <c r="E181" s="16" t="e">
        <f>#REF!</f>
        <v>#REF!</v>
      </c>
      <c r="F181" s="16"/>
      <c r="G181" s="16"/>
      <c r="H181" s="16"/>
      <c r="I181" s="18"/>
      <c r="J181" s="16"/>
      <c r="K181" s="18"/>
      <c r="L181" s="16"/>
      <c r="M181" s="18"/>
      <c r="N181" s="18"/>
      <c r="O181" s="15">
        <f t="shared" ref="O181" si="94">G181-J181</f>
        <v>0</v>
      </c>
      <c r="P181" s="131"/>
      <c r="Q181" s="97">
        <f t="shared" si="90"/>
        <v>0</v>
      </c>
      <c r="R181" s="97">
        <f t="shared" si="84"/>
        <v>0</v>
      </c>
      <c r="S181" s="113">
        <f t="shared" si="89"/>
        <v>0</v>
      </c>
    </row>
    <row r="182" spans="1:19" ht="58.5" customHeight="1" x14ac:dyDescent="0.4">
      <c r="A182" s="119"/>
      <c r="B182" s="116" t="s">
        <v>16</v>
      </c>
      <c r="C182" s="16"/>
      <c r="D182" s="16"/>
      <c r="E182" s="16"/>
      <c r="F182" s="16">
        <v>640963.30000000005</v>
      </c>
      <c r="G182" s="16">
        <v>621893.69999999995</v>
      </c>
      <c r="H182" s="16">
        <v>510108.25</v>
      </c>
      <c r="I182" s="18">
        <f>H182/G182</f>
        <v>0.82</v>
      </c>
      <c r="J182" s="16">
        <v>510108.25</v>
      </c>
      <c r="K182" s="18">
        <f>J182/G182</f>
        <v>0.82</v>
      </c>
      <c r="L182" s="16">
        <f>300872.2+309732.76</f>
        <v>610604.96</v>
      </c>
      <c r="M182" s="18"/>
      <c r="N182" s="18"/>
      <c r="O182" s="16">
        <f>G182-L182</f>
        <v>11288.74</v>
      </c>
      <c r="P182" s="131"/>
      <c r="Q182" s="97">
        <f t="shared" si="90"/>
        <v>11288.74</v>
      </c>
      <c r="R182" s="97">
        <f t="shared" si="84"/>
        <v>0</v>
      </c>
      <c r="S182" s="113">
        <f t="shared" si="89"/>
        <v>0</v>
      </c>
    </row>
    <row r="183" spans="1:19" ht="62.25" customHeight="1" x14ac:dyDescent="0.4">
      <c r="A183" s="119"/>
      <c r="B183" s="116" t="s">
        <v>11</v>
      </c>
      <c r="C183" s="16"/>
      <c r="D183" s="16"/>
      <c r="E183" s="16"/>
      <c r="F183" s="16">
        <v>37163.72</v>
      </c>
      <c r="G183" s="16">
        <v>37163.72</v>
      </c>
      <c r="H183" s="16">
        <f>J183</f>
        <v>32096.48</v>
      </c>
      <c r="I183" s="18">
        <f>H183/G183</f>
        <v>0.86</v>
      </c>
      <c r="J183" s="16">
        <v>32096.48</v>
      </c>
      <c r="K183" s="18">
        <f>J183/G183</f>
        <v>0.86</v>
      </c>
      <c r="L183" s="16">
        <f>19264.22+16301.72</f>
        <v>35565.94</v>
      </c>
      <c r="M183" s="18"/>
      <c r="N183" s="18"/>
      <c r="O183" s="16">
        <f>G183-L183</f>
        <v>1597.78</v>
      </c>
      <c r="P183" s="131"/>
      <c r="Q183" s="97">
        <f t="shared" si="90"/>
        <v>1597.78</v>
      </c>
      <c r="R183" s="97">
        <f t="shared" si="84"/>
        <v>0</v>
      </c>
      <c r="S183" s="113">
        <f t="shared" si="89"/>
        <v>0</v>
      </c>
    </row>
    <row r="184" spans="1:19" ht="64.5" customHeight="1" x14ac:dyDescent="0.4">
      <c r="A184" s="119"/>
      <c r="B184" s="116" t="s">
        <v>13</v>
      </c>
      <c r="C184" s="16"/>
      <c r="D184" s="16"/>
      <c r="E184" s="16"/>
      <c r="F184" s="16">
        <v>2.78</v>
      </c>
      <c r="G184" s="16">
        <v>2.78</v>
      </c>
      <c r="H184" s="16">
        <v>1.04</v>
      </c>
      <c r="I184" s="18">
        <f>H184/G184</f>
        <v>0.37</v>
      </c>
      <c r="J184" s="16">
        <v>1.04</v>
      </c>
      <c r="K184" s="18">
        <f>J184/G184</f>
        <v>0.37</v>
      </c>
      <c r="L184" s="16">
        <v>1.04</v>
      </c>
      <c r="M184" s="18"/>
      <c r="N184" s="18"/>
      <c r="O184" s="37">
        <f t="shared" ref="O184" si="95">G184-L184</f>
        <v>1.74</v>
      </c>
      <c r="P184" s="131"/>
      <c r="Q184" s="97">
        <f t="shared" si="90"/>
        <v>1.74</v>
      </c>
      <c r="R184" s="97">
        <f t="shared" si="84"/>
        <v>0</v>
      </c>
      <c r="S184" s="113">
        <f t="shared" si="89"/>
        <v>0</v>
      </c>
    </row>
    <row r="185" spans="1:19" ht="75" customHeight="1" x14ac:dyDescent="0.4">
      <c r="A185" s="119"/>
      <c r="B185" s="116" t="s">
        <v>5</v>
      </c>
      <c r="C185" s="16" t="e">
        <f>#REF!</f>
        <v>#REF!</v>
      </c>
      <c r="D185" s="16" t="e">
        <f>#REF!</f>
        <v>#REF!</v>
      </c>
      <c r="E185" s="16" t="e">
        <f>#REF!</f>
        <v>#REF!</v>
      </c>
      <c r="F185" s="16"/>
      <c r="G185" s="16"/>
      <c r="H185" s="16"/>
      <c r="I185" s="18"/>
      <c r="J185" s="16"/>
      <c r="K185" s="18"/>
      <c r="L185" s="16"/>
      <c r="M185" s="18"/>
      <c r="N185" s="18"/>
      <c r="O185" s="16"/>
      <c r="P185" s="131"/>
      <c r="Q185" s="97">
        <f t="shared" si="90"/>
        <v>0</v>
      </c>
      <c r="R185" s="97">
        <f t="shared" si="84"/>
        <v>0</v>
      </c>
      <c r="S185" s="113">
        <f t="shared" si="89"/>
        <v>0</v>
      </c>
    </row>
    <row r="186" spans="1:19" s="53" customFormat="1" ht="90.75" customHeight="1" x14ac:dyDescent="0.25">
      <c r="A186" s="119" t="s">
        <v>31</v>
      </c>
      <c r="B186" s="75" t="s">
        <v>51</v>
      </c>
      <c r="C186" s="15" t="e">
        <f>#REF!+#REF!+#REF!+#REF!+#REF!</f>
        <v>#REF!</v>
      </c>
      <c r="D186" s="15" t="e">
        <f>#REF!+#REF!+#REF!+#REF!+#REF!</f>
        <v>#REF!</v>
      </c>
      <c r="E186" s="15" t="e">
        <f>#REF!+#REF!+#REF!+#REF!+#REF!</f>
        <v>#REF!</v>
      </c>
      <c r="F186" s="24"/>
      <c r="G186" s="24"/>
      <c r="H186" s="27"/>
      <c r="I186" s="31"/>
      <c r="J186" s="32"/>
      <c r="K186" s="31"/>
      <c r="L186" s="31"/>
      <c r="M186" s="17"/>
      <c r="N186" s="17"/>
      <c r="O186" s="17"/>
      <c r="P186" s="116" t="s">
        <v>59</v>
      </c>
      <c r="Q186" s="97">
        <f t="shared" si="90"/>
        <v>0</v>
      </c>
      <c r="R186" s="97">
        <f t="shared" si="84"/>
        <v>0</v>
      </c>
      <c r="S186" s="112">
        <f t="shared" si="89"/>
        <v>0</v>
      </c>
    </row>
    <row r="187" spans="1:19" s="14" customFormat="1" ht="408" customHeight="1" x14ac:dyDescent="0.25">
      <c r="A187" s="119" t="s">
        <v>34</v>
      </c>
      <c r="B187" s="75" t="s">
        <v>98</v>
      </c>
      <c r="C187" s="15" t="e">
        <f>C188+C192+#REF!+#REF!+#REF!</f>
        <v>#REF!</v>
      </c>
      <c r="D187" s="15" t="e">
        <f>D188+D192+#REF!+#REF!+#REF!</f>
        <v>#REF!</v>
      </c>
      <c r="E187" s="15" t="e">
        <f>E188+E192+#REF!+#REF!+#REF!</f>
        <v>#REF!</v>
      </c>
      <c r="F187" s="15">
        <f>F188+F189+F190</f>
        <v>131620.45000000001</v>
      </c>
      <c r="G187" s="15">
        <f t="shared" ref="G187:H187" si="96">G188+G189+G190</f>
        <v>133632.99</v>
      </c>
      <c r="H187" s="15">
        <f t="shared" si="96"/>
        <v>117736.83</v>
      </c>
      <c r="I187" s="15">
        <f t="shared" ref="I187" si="97">H187/G187*100</f>
        <v>88.1</v>
      </c>
      <c r="J187" s="15">
        <f>J188+J189+J190</f>
        <v>116020.79</v>
      </c>
      <c r="K187" s="15">
        <f t="shared" ref="K187" si="98">J187/G187*100</f>
        <v>86.82</v>
      </c>
      <c r="L187" s="15">
        <f>L188+L189+L190</f>
        <v>132685.65</v>
      </c>
      <c r="M187" s="15">
        <f t="shared" ref="M187:N187" si="99">M188+M189+M190</f>
        <v>0</v>
      </c>
      <c r="N187" s="15">
        <f t="shared" si="99"/>
        <v>0</v>
      </c>
      <c r="O187" s="15">
        <f>O188+O189+O190</f>
        <v>947.34</v>
      </c>
      <c r="P187" s="184" t="s">
        <v>130</v>
      </c>
      <c r="Q187" s="97">
        <f t="shared" si="90"/>
        <v>947.34</v>
      </c>
      <c r="R187" s="97">
        <f t="shared" si="84"/>
        <v>0</v>
      </c>
      <c r="S187" s="112">
        <f t="shared" si="89"/>
        <v>1716.04</v>
      </c>
    </row>
    <row r="188" spans="1:19" s="41" customFormat="1" ht="53.25" customHeight="1" x14ac:dyDescent="0.25">
      <c r="A188" s="63"/>
      <c r="B188" s="116" t="s">
        <v>4</v>
      </c>
      <c r="C188" s="16" t="e">
        <f>#REF!+#REF!</f>
        <v>#REF!</v>
      </c>
      <c r="D188" s="16" t="e">
        <f>#REF!+#REF!</f>
        <v>#REF!</v>
      </c>
      <c r="E188" s="16" t="e">
        <f>#REF!+#REF!</f>
        <v>#REF!</v>
      </c>
      <c r="F188" s="16"/>
      <c r="G188" s="16"/>
      <c r="H188" s="16"/>
      <c r="I188" s="18"/>
      <c r="J188" s="16"/>
      <c r="K188" s="18"/>
      <c r="L188" s="16"/>
      <c r="M188" s="16"/>
      <c r="N188" s="16"/>
      <c r="O188" s="16">
        <f>H188-L188</f>
        <v>0</v>
      </c>
      <c r="P188" s="129"/>
      <c r="Q188" s="97">
        <f t="shared" si="90"/>
        <v>0</v>
      </c>
      <c r="R188" s="97">
        <f t="shared" si="84"/>
        <v>0</v>
      </c>
      <c r="S188" s="112">
        <f t="shared" si="89"/>
        <v>0</v>
      </c>
    </row>
    <row r="189" spans="1:19" s="41" customFormat="1" ht="53.25" customHeight="1" x14ac:dyDescent="0.25">
      <c r="A189" s="63"/>
      <c r="B189" s="116" t="s">
        <v>16</v>
      </c>
      <c r="C189" s="16"/>
      <c r="D189" s="16"/>
      <c r="E189" s="16"/>
      <c r="F189" s="16">
        <f>89289.4+38238.2</f>
        <v>127527.6</v>
      </c>
      <c r="G189" s="16">
        <v>127527.6</v>
      </c>
      <c r="H189" s="16">
        <v>112765.4</v>
      </c>
      <c r="I189" s="18">
        <f>H189/G189</f>
        <v>0.88</v>
      </c>
      <c r="J189" s="16">
        <v>111049.36</v>
      </c>
      <c r="K189" s="18">
        <f>J189/G189</f>
        <v>0.87</v>
      </c>
      <c r="L189" s="16">
        <f>26871.74+6530.45+23906.4+46238.3+23248.51</f>
        <v>126795.4</v>
      </c>
      <c r="M189" s="16"/>
      <c r="N189" s="16"/>
      <c r="O189" s="16">
        <f>G189-L189</f>
        <v>732.2</v>
      </c>
      <c r="P189" s="129"/>
      <c r="Q189" s="97">
        <f t="shared" si="90"/>
        <v>732.2</v>
      </c>
      <c r="R189" s="97">
        <f t="shared" si="84"/>
        <v>0</v>
      </c>
      <c r="S189" s="112">
        <f t="shared" si="89"/>
        <v>1716.04</v>
      </c>
    </row>
    <row r="190" spans="1:19" s="41" customFormat="1" ht="53.25" customHeight="1" x14ac:dyDescent="0.25">
      <c r="A190" s="63"/>
      <c r="B190" s="116" t="s">
        <v>11</v>
      </c>
      <c r="C190" s="16"/>
      <c r="D190" s="16"/>
      <c r="E190" s="16"/>
      <c r="F190" s="16">
        <v>4092.85</v>
      </c>
      <c r="G190" s="16">
        <v>6105.39</v>
      </c>
      <c r="H190" s="16">
        <f>J190</f>
        <v>4971.43</v>
      </c>
      <c r="I190" s="18">
        <f>H190/G190</f>
        <v>0.81</v>
      </c>
      <c r="J190" s="16">
        <v>4971.43</v>
      </c>
      <c r="K190" s="18">
        <f>J190/G190</f>
        <v>0.81</v>
      </c>
      <c r="L190" s="16">
        <f>318.28+225.78+1258.23+2433.56+1654.4</f>
        <v>5890.25</v>
      </c>
      <c r="M190" s="16"/>
      <c r="N190" s="16"/>
      <c r="O190" s="16">
        <f>G190-L190</f>
        <v>215.14</v>
      </c>
      <c r="P190" s="129"/>
      <c r="Q190" s="97">
        <f t="shared" si="90"/>
        <v>215.14</v>
      </c>
      <c r="R190" s="97">
        <f t="shared" si="84"/>
        <v>0</v>
      </c>
      <c r="S190" s="112">
        <f t="shared" si="89"/>
        <v>0</v>
      </c>
    </row>
    <row r="191" spans="1:19" s="41" customFormat="1" ht="53.25" customHeight="1" x14ac:dyDescent="0.25">
      <c r="A191" s="63"/>
      <c r="B191" s="116" t="s">
        <v>13</v>
      </c>
      <c r="C191" s="16"/>
      <c r="D191" s="16"/>
      <c r="E191" s="16"/>
      <c r="F191" s="16"/>
      <c r="G191" s="16"/>
      <c r="H191" s="16"/>
      <c r="I191" s="18"/>
      <c r="J191" s="16"/>
      <c r="K191" s="18"/>
      <c r="L191" s="16"/>
      <c r="M191" s="16"/>
      <c r="N191" s="16"/>
      <c r="O191" s="16">
        <f>H191-L191</f>
        <v>0</v>
      </c>
      <c r="P191" s="129"/>
      <c r="Q191" s="97">
        <f t="shared" si="90"/>
        <v>0</v>
      </c>
      <c r="R191" s="97">
        <f t="shared" si="84"/>
        <v>0</v>
      </c>
      <c r="S191" s="112">
        <f t="shared" si="89"/>
        <v>0</v>
      </c>
    </row>
    <row r="192" spans="1:19" s="41" customFormat="1" ht="53.25" customHeight="1" x14ac:dyDescent="0.25">
      <c r="A192" s="63"/>
      <c r="B192" s="116" t="s">
        <v>5</v>
      </c>
      <c r="C192" s="16"/>
      <c r="D192" s="16"/>
      <c r="E192" s="16"/>
      <c r="F192" s="16"/>
      <c r="G192" s="16"/>
      <c r="H192" s="16"/>
      <c r="I192" s="18"/>
      <c r="J192" s="16"/>
      <c r="K192" s="18"/>
      <c r="L192" s="16"/>
      <c r="M192" s="16"/>
      <c r="N192" s="16"/>
      <c r="O192" s="16">
        <f>H192-L192</f>
        <v>0</v>
      </c>
      <c r="P192" s="130"/>
      <c r="Q192" s="97">
        <f t="shared" si="90"/>
        <v>0</v>
      </c>
      <c r="R192" s="97">
        <f t="shared" si="84"/>
        <v>0</v>
      </c>
      <c r="S192" s="112">
        <f t="shared" si="89"/>
        <v>0</v>
      </c>
    </row>
    <row r="193" spans="1:19" s="43" customFormat="1" ht="101.25" customHeight="1" x14ac:dyDescent="0.25">
      <c r="A193" s="119" t="s">
        <v>33</v>
      </c>
      <c r="B193" s="75" t="s">
        <v>52</v>
      </c>
      <c r="C193" s="15"/>
      <c r="D193" s="15"/>
      <c r="E193" s="15"/>
      <c r="F193" s="24"/>
      <c r="G193" s="24"/>
      <c r="H193" s="24"/>
      <c r="I193" s="25"/>
      <c r="J193" s="24"/>
      <c r="K193" s="25"/>
      <c r="L193" s="25"/>
      <c r="M193" s="17"/>
      <c r="N193" s="17"/>
      <c r="O193" s="17"/>
      <c r="P193" s="116" t="s">
        <v>59</v>
      </c>
      <c r="Q193" s="97">
        <f t="shared" si="90"/>
        <v>0</v>
      </c>
      <c r="R193" s="97">
        <f t="shared" si="84"/>
        <v>0</v>
      </c>
      <c r="S193" s="112">
        <f t="shared" si="89"/>
        <v>0</v>
      </c>
    </row>
    <row r="194" spans="1:19" s="43" customFormat="1" ht="108.75" customHeight="1" x14ac:dyDescent="0.25">
      <c r="A194" s="119" t="s">
        <v>32</v>
      </c>
      <c r="B194" s="75" t="s">
        <v>53</v>
      </c>
      <c r="C194" s="15"/>
      <c r="D194" s="15"/>
      <c r="E194" s="15"/>
      <c r="F194" s="24"/>
      <c r="G194" s="24"/>
      <c r="H194" s="24"/>
      <c r="I194" s="25"/>
      <c r="J194" s="24"/>
      <c r="K194" s="25"/>
      <c r="L194" s="25"/>
      <c r="M194" s="17"/>
      <c r="N194" s="17"/>
      <c r="O194" s="17"/>
      <c r="P194" s="116" t="s">
        <v>59</v>
      </c>
      <c r="Q194" s="97">
        <f t="shared" si="90"/>
        <v>0</v>
      </c>
      <c r="R194" s="97">
        <f t="shared" si="84"/>
        <v>0</v>
      </c>
      <c r="S194" s="112">
        <f t="shared" si="89"/>
        <v>0</v>
      </c>
    </row>
    <row r="195" spans="1:19" s="43" customFormat="1" ht="102" customHeight="1" x14ac:dyDescent="0.25">
      <c r="A195" s="119" t="s">
        <v>57</v>
      </c>
      <c r="B195" s="75" t="s">
        <v>54</v>
      </c>
      <c r="C195" s="15" t="e">
        <f>#REF!+#REF!+#REF!+#REF!+#REF!</f>
        <v>#REF!</v>
      </c>
      <c r="D195" s="15" t="e">
        <f>#REF!+#REF!+#REF!+#REF!+#REF!</f>
        <v>#REF!</v>
      </c>
      <c r="E195" s="15" t="e">
        <f>#REF!+#REF!+#REF!+#REF!+#REF!</f>
        <v>#REF!</v>
      </c>
      <c r="F195" s="24"/>
      <c r="G195" s="24"/>
      <c r="H195" s="27"/>
      <c r="I195" s="25"/>
      <c r="J195" s="24"/>
      <c r="K195" s="25"/>
      <c r="L195" s="25"/>
      <c r="M195" s="17"/>
      <c r="N195" s="17"/>
      <c r="O195" s="17"/>
      <c r="P195" s="116" t="s">
        <v>59</v>
      </c>
      <c r="Q195" s="97">
        <f t="shared" si="90"/>
        <v>0</v>
      </c>
      <c r="R195" s="97">
        <f t="shared" si="84"/>
        <v>0</v>
      </c>
      <c r="S195" s="112">
        <f t="shared" si="89"/>
        <v>0</v>
      </c>
    </row>
    <row r="196" spans="1:19" ht="105.75" customHeight="1" x14ac:dyDescent="0.4">
      <c r="A196" s="119" t="s">
        <v>40</v>
      </c>
      <c r="B196" s="75" t="s">
        <v>55</v>
      </c>
      <c r="C196" s="15" t="e">
        <f>#REF!+#REF!+#REF!+#REF!+#REF!</f>
        <v>#REF!</v>
      </c>
      <c r="D196" s="15" t="e">
        <f>#REF!+#REF!+#REF!+#REF!+#REF!</f>
        <v>#REF!</v>
      </c>
      <c r="E196" s="15" t="e">
        <f>#REF!+#REF!+#REF!+#REF!+#REF!</f>
        <v>#REF!</v>
      </c>
      <c r="F196" s="24"/>
      <c r="G196" s="24"/>
      <c r="H196" s="27"/>
      <c r="I196" s="25"/>
      <c r="J196" s="24"/>
      <c r="K196" s="25"/>
      <c r="L196" s="25"/>
      <c r="M196" s="17"/>
      <c r="N196" s="17"/>
      <c r="O196" s="17"/>
      <c r="P196" s="116" t="s">
        <v>59</v>
      </c>
      <c r="Q196" s="97">
        <f t="shared" si="90"/>
        <v>0</v>
      </c>
      <c r="R196" s="97">
        <f t="shared" si="84"/>
        <v>0</v>
      </c>
      <c r="S196" s="113">
        <f t="shared" si="89"/>
        <v>0</v>
      </c>
    </row>
    <row r="197" spans="1:19" ht="130.5" customHeight="1" x14ac:dyDescent="0.4">
      <c r="A197" s="119" t="s">
        <v>41</v>
      </c>
      <c r="B197" s="75" t="s">
        <v>56</v>
      </c>
      <c r="C197" s="15" t="e">
        <f>#REF!+#REF!+#REF!+#REF!+#REF!</f>
        <v>#REF!</v>
      </c>
      <c r="D197" s="15" t="e">
        <f>#REF!+#REF!+#REF!+#REF!+#REF!</f>
        <v>#REF!</v>
      </c>
      <c r="E197" s="15" t="e">
        <f>#REF!+#REF!+#REF!+#REF!+#REF!</f>
        <v>#REF!</v>
      </c>
      <c r="F197" s="24"/>
      <c r="G197" s="24"/>
      <c r="H197" s="27"/>
      <c r="I197" s="25"/>
      <c r="J197" s="24"/>
      <c r="K197" s="25"/>
      <c r="L197" s="25"/>
      <c r="M197" s="17"/>
      <c r="N197" s="17"/>
      <c r="O197" s="17"/>
      <c r="P197" s="116" t="s">
        <v>59</v>
      </c>
      <c r="Q197" s="97">
        <f t="shared" si="90"/>
        <v>0</v>
      </c>
      <c r="R197" s="97">
        <f t="shared" si="84"/>
        <v>0</v>
      </c>
      <c r="S197" s="113">
        <f t="shared" si="89"/>
        <v>0</v>
      </c>
    </row>
    <row r="417" spans="12:15" x14ac:dyDescent="0.4">
      <c r="L417" s="6"/>
      <c r="M417" s="6"/>
      <c r="N417" s="6"/>
      <c r="O417" s="6"/>
    </row>
    <row r="418" spans="12:15" x14ac:dyDescent="0.4">
      <c r="L418" s="6"/>
      <c r="M418" s="6"/>
      <c r="N418" s="6"/>
      <c r="O418" s="6"/>
    </row>
    <row r="419" spans="12:15" x14ac:dyDescent="0.4">
      <c r="L419" s="6"/>
      <c r="M419" s="6"/>
      <c r="N419" s="6"/>
      <c r="O419" s="6"/>
    </row>
  </sheetData>
  <autoFilter ref="A7:P404"/>
  <customSheetViews>
    <customSheetView guid="{A0A3CD9B-2436-40D7-91DB-589A95FBBF00}" scale="40" showPageBreaks="1" outlineSymbols="0" zeroValues="0" fitToPage="1" printArea="1" showAutoFilter="1" hiddenColumns="1" view="pageBreakPreview" topLeftCell="A34">
      <selection activeCell="G39" sqref="G39"/>
      <rowBreaks count="29" manualBreakCount="29">
        <brk id="174" max="18" man="1"/>
        <brk id="208" max="18" man="1"/>
        <brk id="1031" max="18" man="1"/>
        <brk id="1081" max="18" man="1"/>
        <brk id="1138" max="18" man="1"/>
        <brk id="1209" max="18" man="1"/>
        <brk id="1264" max="14" man="1"/>
        <brk id="1279" max="10" man="1"/>
        <brk id="1315" max="10" man="1"/>
        <brk id="1355" max="10" man="1"/>
        <brk id="1394" max="10" man="1"/>
        <brk id="1432" max="10" man="1"/>
        <brk id="1468" max="10" man="1"/>
        <brk id="1505" max="10" man="1"/>
        <brk id="1543" max="10" man="1"/>
        <brk id="1578" max="10" man="1"/>
        <brk id="1614" max="10" man="1"/>
        <brk id="1654" max="10" man="1"/>
        <brk id="1693" max="10" man="1"/>
        <brk id="1732" max="10" man="1"/>
        <brk id="1772" max="10" man="1"/>
        <brk id="1810" max="10" man="1"/>
        <brk id="1845" max="10" man="1"/>
        <brk id="1875" max="10" man="1"/>
        <brk id="1912" max="10" man="1"/>
        <brk id="1949" max="10" man="1"/>
        <brk id="1984" max="10" man="1"/>
        <brk id="2026" max="10" man="1"/>
        <brk id="2080" max="10" man="1"/>
      </rowBreaks>
      <pageMargins left="0" right="0" top="0.9055118110236221" bottom="0" header="0" footer="0"/>
      <printOptions horizontalCentered="1"/>
      <pageSetup paperSize="9" scale="38" fitToHeight="0" orientation="landscape" r:id="rId1"/>
      <autoFilter ref="A7:P404"/>
    </customSheetView>
    <customSheetView guid="{BEA0FDBA-BB07-4C19-8BBD-5E57EE395C09}" scale="40" showPageBreaks="1" outlineSymbols="0" zeroValues="0" printArea="1" showAutoFilter="1" hiddenColumns="1" view="pageBreakPreview" topLeftCell="A4">
      <pane xSplit="4" ySplit="5" topLeftCell="L163" activePane="bottomRight" state="frozen"/>
      <selection pane="bottomRight" activeCell="P175" sqref="P175:P178"/>
      <rowBreaks count="32" manualBreakCount="32">
        <brk id="20" max="17" man="1"/>
        <brk id="120" max="17" man="1"/>
        <brk id="144" max="17" man="1"/>
        <brk id="165" max="17" man="1"/>
        <brk id="203" max="18" man="1"/>
        <brk id="1020" max="18" man="1"/>
        <brk id="1070" max="18" man="1"/>
        <brk id="1127" max="18" man="1"/>
        <brk id="1198" max="18" man="1"/>
        <brk id="1253" max="14" man="1"/>
        <brk id="1268" max="10" man="1"/>
        <brk id="1304" max="10" man="1"/>
        <brk id="1344" max="10" man="1"/>
        <brk id="1383" max="10" man="1"/>
        <brk id="1421" max="10" man="1"/>
        <brk id="1457" max="10" man="1"/>
        <brk id="1494" max="10" man="1"/>
        <brk id="1532" max="10" man="1"/>
        <brk id="1567" max="10" man="1"/>
        <brk id="1603" max="10" man="1"/>
        <brk id="1643" max="10" man="1"/>
        <brk id="1682" max="10" man="1"/>
        <brk id="1721" max="10" man="1"/>
        <brk id="1761" max="10" man="1"/>
        <brk id="1799" max="10" man="1"/>
        <brk id="1834" max="10" man="1"/>
        <brk id="1864" max="10" man="1"/>
        <brk id="1901" max="10" man="1"/>
        <brk id="1938" max="10" man="1"/>
        <brk id="1973" max="10" man="1"/>
        <brk id="2015" max="10" man="1"/>
        <brk id="2069" max="10" man="1"/>
      </rowBreaks>
      <colBreaks count="1" manualBreakCount="1">
        <brk id="16" max="196" man="1"/>
      </colBreaks>
      <pageMargins left="0" right="0" top="0.9055118110236221" bottom="0" header="0" footer="0"/>
      <printOptions horizontalCentered="1"/>
      <pageSetup paperSize="8" scale="38" fitToHeight="0" orientation="landscape" r:id="rId2"/>
      <autoFilter ref="A7:P404"/>
    </customSheetView>
    <customSheetView guid="{649E5CE3-4976-49D9-83DA-4E57FFC714BF}" scale="40" showPageBreaks="1" outlineSymbols="0" zeroValues="0" fitToPage="1" printArea="1" showAutoFilter="1" hiddenColumns="1" view="pageBreakPreview" topLeftCell="A5">
      <pane xSplit="4" ySplit="10" topLeftCell="J52" activePane="bottomRight" state="frozen"/>
      <selection pane="bottomRight" activeCell="L58" sqref="L58"/>
      <rowBreaks count="30" manualBreakCount="30">
        <brk id="28" max="15" man="1"/>
        <brk id="40" max="15" man="1"/>
        <brk id="214" max="18" man="1"/>
        <brk id="1037" max="18" man="1"/>
        <brk id="1087" max="18" man="1"/>
        <brk id="1144" max="18" man="1"/>
        <brk id="1215" max="18" man="1"/>
        <brk id="1270" max="14" man="1"/>
        <brk id="1285" max="10" man="1"/>
        <brk id="1321" max="10" man="1"/>
        <brk id="1361" max="10" man="1"/>
        <brk id="1400" max="10" man="1"/>
        <brk id="1438" max="10" man="1"/>
        <brk id="1474" max="10" man="1"/>
        <brk id="1511" max="10" man="1"/>
        <brk id="1549" max="10" man="1"/>
        <brk id="1584" max="10" man="1"/>
        <brk id="1620" max="10" man="1"/>
        <brk id="1660" max="10" man="1"/>
        <brk id="1699" max="10" man="1"/>
        <brk id="1738" max="10" man="1"/>
        <brk id="1778" max="10" man="1"/>
        <brk id="1816" max="10" man="1"/>
        <brk id="1851" max="10" man="1"/>
        <brk id="1881" max="10" man="1"/>
        <brk id="1918" max="10" man="1"/>
        <brk id="1955" max="10" man="1"/>
        <brk id="1990" max="10" man="1"/>
        <brk id="2032" max="10" man="1"/>
        <brk id="2086" max="10" man="1"/>
      </rowBreaks>
      <pageMargins left="0" right="0" top="0.67" bottom="0" header="0" footer="0"/>
      <printOptions horizontalCentered="1"/>
      <pageSetup paperSize="8" scale="38" fitToHeight="0" orientation="landscape" horizontalDpi="4294967293" r:id="rId3"/>
      <autoFilter ref="A7:P404"/>
    </customSheetView>
    <customSheetView guid="{D95852A1-B0FC-4AC5-B62B-5CCBE05B0D15}" scale="40" showPageBreaks="1" outlineSymbols="0" zeroValues="0" fitToPage="1" printArea="1" showAutoFilter="1" hiddenColumns="1" view="pageBreakPreview" topLeftCell="A5">
      <pane xSplit="4" ySplit="4" topLeftCell="K171" activePane="bottomRight" state="frozen"/>
      <selection pane="bottomRight" activeCell="K175" sqref="K175"/>
      <rowBreaks count="29" manualBreakCount="29">
        <brk id="24" max="15" man="1"/>
        <brk id="33" max="15" man="1"/>
        <brk id="216" max="18" man="1"/>
        <brk id="266" max="18" man="1"/>
        <brk id="323" max="18" man="1"/>
        <brk id="394" max="18" man="1"/>
        <brk id="449" max="14" man="1"/>
        <brk id="464" max="10" man="1"/>
        <brk id="500" max="10" man="1"/>
        <brk id="540" max="10" man="1"/>
        <brk id="579" max="10" man="1"/>
        <brk id="617" max="10" man="1"/>
        <brk id="653" max="10" man="1"/>
        <brk id="690" max="10" man="1"/>
        <brk id="728" max="10" man="1"/>
        <brk id="763" max="10" man="1"/>
        <brk id="799" max="10" man="1"/>
        <brk id="839" max="10" man="1"/>
        <brk id="878" max="10" man="1"/>
        <brk id="917" max="10" man="1"/>
        <brk id="957" max="10" man="1"/>
        <brk id="995" max="10" man="1"/>
        <brk id="1030" max="10" man="1"/>
        <brk id="1060" max="10" man="1"/>
        <brk id="1097" max="10" man="1"/>
        <brk id="1134" max="10" man="1"/>
        <brk id="1169" max="10" man="1"/>
        <brk id="1211" max="10" man="1"/>
        <brk id="1265" max="10" man="1"/>
      </rowBreaks>
      <pageMargins left="0" right="0" top="0.9055118110236221" bottom="0" header="0" footer="0"/>
      <printOptions horizontalCentered="1"/>
      <pageSetup paperSize="9" scale="38" fitToHeight="0" orientation="landscape" r:id="rId4"/>
      <autoFilter ref="A7:P404"/>
    </customSheetView>
    <customSheetView guid="{7B245AB0-C2AF-4822-BFC4-2399F85856C1}" scale="40" showPageBreaks="1" outlineSymbols="0" zeroValues="0" fitToPage="1" printArea="1" showAutoFilter="1" hiddenColumns="1" view="pageBreakPreview" topLeftCell="A4">
      <pane xSplit="4" ySplit="7" topLeftCell="F182" activePane="bottomRight" state="frozen"/>
      <selection pane="bottomRight" activeCell="F190" sqref="F190"/>
      <rowBreaks count="29" manualBreakCount="29">
        <brk id="180" max="18" man="1"/>
        <brk id="214" max="18" man="1"/>
        <brk id="1037" max="18" man="1"/>
        <brk id="1087" max="18" man="1"/>
        <brk id="1144" max="18" man="1"/>
        <brk id="1215" max="18" man="1"/>
        <brk id="1270" max="14" man="1"/>
        <brk id="1285" max="10" man="1"/>
        <brk id="1321" max="10" man="1"/>
        <brk id="1361" max="10" man="1"/>
        <brk id="1400" max="10" man="1"/>
        <brk id="1438" max="10" man="1"/>
        <brk id="1474" max="10" man="1"/>
        <brk id="1511" max="10" man="1"/>
        <brk id="1549" max="10" man="1"/>
        <brk id="1584" max="10" man="1"/>
        <brk id="1620" max="10" man="1"/>
        <brk id="1660" max="10" man="1"/>
        <brk id="1699" max="10" man="1"/>
        <brk id="1738" max="10" man="1"/>
        <brk id="1778" max="10" man="1"/>
        <brk id="1816" max="10" man="1"/>
        <brk id="1851" max="10" man="1"/>
        <brk id="1881" max="10" man="1"/>
        <brk id="1918" max="10" man="1"/>
        <brk id="1955" max="10" man="1"/>
        <brk id="1990" max="10" man="1"/>
        <brk id="2032" max="10" man="1"/>
        <brk id="2086" max="10" man="1"/>
      </rowBreaks>
      <pageMargins left="0" right="0" top="0.9055118110236221" bottom="0" header="0" footer="0"/>
      <printOptions horizontalCentered="1"/>
      <pageSetup paperSize="8" scale="38" fitToHeight="0" orientation="landscape" r:id="rId5"/>
      <autoFilter ref="A7:P404"/>
    </customSheetView>
    <customSheetView guid="{2F7AC811-CA37-46E3-866E-6E10DF43054A}" scale="60" showPageBreaks="1" outlineSymbols="0" zeroValues="0" fitToPage="1" showAutoFilter="1" view="pageBreakPreview" topLeftCell="A4">
      <pane xSplit="2" ySplit="7" topLeftCell="C776" activePane="bottomRight" state="frozen"/>
      <selection pane="bottomRight" activeCell="N792" sqref="N792"/>
      <rowBreaks count="47" manualBreakCount="47">
        <brk id="67" max="24" man="1"/>
        <brk id="97" max="15" man="1"/>
        <brk id="129" max="15" man="1"/>
        <brk id="171" max="15" man="1"/>
        <brk id="227" max="15" man="1"/>
        <brk id="267" max="15" man="1"/>
        <brk id="321" max="15" man="1"/>
        <brk id="385" max="24" man="1"/>
        <brk id="390" max="15" man="1"/>
        <brk id="432" max="15" man="1"/>
        <brk id="467" max="15" man="1"/>
        <brk id="514" max="15" man="1"/>
        <brk id="577" max="15" man="1"/>
        <brk id="656" max="24" man="1"/>
        <brk id="665" max="15" man="1"/>
        <brk id="723" max="15" man="1"/>
        <brk id="784" max="15" man="1"/>
        <brk id="858" max="24" man="1"/>
        <brk id="943" max="15" man="1"/>
        <brk id="993" max="15" man="1"/>
        <brk id="1048" max="24" man="1"/>
        <brk id="1050" max="15" man="1"/>
        <brk id="1118" max="24" man="1"/>
        <brk id="1121" max="14" man="1"/>
        <brk id="1176" max="14" man="1"/>
        <brk id="1191" max="10" man="1"/>
        <brk id="1227" max="10" man="1"/>
        <brk id="1267" max="10" man="1"/>
        <brk id="1306" max="10" man="1"/>
        <brk id="1344" max="10" man="1"/>
        <brk id="1380" max="10" man="1"/>
        <brk id="1417" max="10" man="1"/>
        <brk id="1455" max="10" man="1"/>
        <brk id="1490" max="10" man="1"/>
        <brk id="1526" max="10" man="1"/>
        <brk id="1566" max="10" man="1"/>
        <brk id="1605" max="10" man="1"/>
        <brk id="1644" max="10" man="1"/>
        <brk id="1684" max="10" man="1"/>
        <brk id="1722" max="10" man="1"/>
        <brk id="1757" max="10" man="1"/>
        <brk id="1787" max="10" man="1"/>
        <brk id="1824" max="10" man="1"/>
        <brk id="1861" max="10" man="1"/>
        <brk id="1896" max="10" man="1"/>
        <brk id="1938" max="10" man="1"/>
        <brk id="1992" max="10" man="1"/>
      </rowBreaks>
      <pageMargins left="0" right="0" top="0.9055118110236221" bottom="0" header="0" footer="0"/>
      <printOptions horizontalCentered="1"/>
      <pageSetup paperSize="8" scale="16" fitToHeight="0" orientation="landscape" r:id="rId6"/>
      <autoFilter ref="A9:S1185"/>
    </customSheetView>
    <customSheetView guid="{CB1A56DC-A135-41E6-8A02-AE4E518C879F}" scale="50" showPageBreaks="1" fitToPage="1" view="pageBreakPreview" topLeftCell="A4">
      <pane xSplit="2" ySplit="7" topLeftCell="C408" activePane="bottomRight" state="frozen"/>
      <selection pane="bottomRight" activeCell="G421" sqref="G421"/>
      <rowBreaks count="38" manualBreakCount="38">
        <brk id="101" max="20" man="1"/>
        <brk id="136" max="20" man="1"/>
        <brk id="184" max="20" man="1"/>
        <brk id="256" max="20" man="1"/>
        <brk id="304" max="20" man="1"/>
        <brk id="430" max="20" man="1"/>
        <brk id="489" max="20" man="1"/>
        <brk id="531" max="20" man="1"/>
        <brk id="569" max="20" man="1"/>
        <brk id="641" max="20" man="1"/>
        <brk id="709" max="20" man="1"/>
        <brk id="784" max="20" man="1"/>
        <brk id="856" max="20" man="1"/>
        <brk id="918" max="20" man="1"/>
        <brk id="1049" max="20" man="1"/>
        <brk id="1110" max="20" man="1"/>
        <brk id="1164" max="20" man="1"/>
        <brk id="1236" max="10" man="1"/>
        <brk id="1276" max="10" man="1"/>
        <brk id="1315" max="10" man="1"/>
        <brk id="1353" max="10" man="1"/>
        <brk id="1389" max="10" man="1"/>
        <brk id="1426" max="10" man="1"/>
        <brk id="1464" max="10" man="1"/>
        <brk id="1499" max="10" man="1"/>
        <brk id="1535" max="10" man="1"/>
        <brk id="1575" max="10" man="1"/>
        <brk id="1614" max="10" man="1"/>
        <brk id="1653" max="10" man="1"/>
        <brk id="1693" max="10" man="1"/>
        <brk id="1731" max="10" man="1"/>
        <brk id="1766" max="10" man="1"/>
        <brk id="1796" max="10" man="1"/>
        <brk id="1833" max="10" man="1"/>
        <brk id="1870" max="10" man="1"/>
        <brk id="1905" max="10" man="1"/>
        <brk id="1947" max="10" man="1"/>
        <brk id="2001" max="10" man="1"/>
      </rowBreaks>
      <pageMargins left="0" right="0" top="0.9055118110236221" bottom="0" header="0" footer="0"/>
      <printOptions horizontalCentered="1"/>
      <pageSetup paperSize="8" scale="16" fitToHeight="0" orientation="landscape" r:id="rId7"/>
    </customSheetView>
    <customSheetView guid="{C8C7D91A-0101-429D-A7C4-25C2A366909A}" scale="46" showPageBreaks="1" outlineSymbols="0" zeroValues="0" fitToPage="1" showAutoFilter="1" hiddenRows="1" hiddenColumns="1" view="pageBreakPreview" topLeftCell="A4">
      <pane xSplit="2" ySplit="7" topLeftCell="C863" activePane="bottomRight" state="frozen"/>
      <selection pane="bottomRight" activeCell="N1075" sqref="N1075"/>
      <rowBreaks count="42" manualBreakCount="42">
        <brk id="97" max="15" man="1"/>
        <brk id="129" max="15" man="1"/>
        <brk id="159" max="15" man="1"/>
        <brk id="214" max="16383" man="1"/>
        <brk id="256" max="16383" man="1"/>
        <brk id="310" max="16383" man="1"/>
        <brk id="378" max="15" man="1"/>
        <brk id="420" max="15" man="1"/>
        <brk id="455" max="15" man="1"/>
        <brk id="502" max="15" man="1"/>
        <brk id="565" max="15" man="1"/>
        <brk id="646" max="15" man="1"/>
        <brk id="702" max="16383" man="1"/>
        <brk id="763" max="16383" man="1"/>
        <brk id="821" max="24" man="1"/>
        <brk id="906" max="15" man="1"/>
        <brk id="956" max="15" man="1"/>
        <brk id="1013" max="15" man="1"/>
        <brk id="1084" max="14" man="1"/>
        <brk id="1139" max="14" man="1"/>
        <brk id="1154" max="10" man="1"/>
        <brk id="1183" max="10" man="1"/>
        <brk id="1223" max="10" man="1"/>
        <brk id="1262" max="10" man="1"/>
        <brk id="1300" max="10" man="1"/>
        <brk id="1336" max="10" man="1"/>
        <brk id="1373" max="10" man="1"/>
        <brk id="1411" max="10" man="1"/>
        <brk id="1446" max="10" man="1"/>
        <brk id="1482" max="10" man="1"/>
        <brk id="1522" max="10" man="1"/>
        <brk id="1561" max="10" man="1"/>
        <brk id="1600" max="10" man="1"/>
        <brk id="1640" max="10" man="1"/>
        <brk id="1678" max="10" man="1"/>
        <brk id="1713" max="10" man="1"/>
        <brk id="1743" max="10" man="1"/>
        <brk id="1780" max="10" man="1"/>
        <brk id="1817" max="10" man="1"/>
        <brk id="1852" max="10" man="1"/>
        <brk id="1894" max="10" man="1"/>
        <brk id="1948" max="10" man="1"/>
      </rowBreaks>
      <pageMargins left="0" right="0" top="0.9055118110236221" bottom="0" header="0" footer="0"/>
      <printOptions horizontalCentered="1"/>
      <pageSetup paperSize="8" scale="34" fitToHeight="0" orientation="landscape" r:id="rId8"/>
      <autoFilter ref="A9:V1172"/>
    </customSheetView>
    <customSheetView guid="{CBF9D894-3FD2-4B68-BAC8-643DB23851C0}" scale="30" showPageBreaks="1" hiddenRows="1" view="pageBreakPreview" topLeftCell="A4">
      <pane xSplit="2" ySplit="7" topLeftCell="C757" activePane="bottomRight" state="frozen"/>
      <selection pane="bottomRight" activeCell="A768" sqref="A768:O773"/>
      <rowBreaks count="63" manualBreakCount="63">
        <brk id="60" max="15" man="1"/>
        <brk id="83" max="15" man="1"/>
        <brk id="95" max="15" man="1"/>
        <brk id="119" max="15" man="1"/>
        <brk id="130" max="15" man="1"/>
        <brk id="160" max="15" man="1"/>
        <brk id="179" max="15" man="1"/>
        <brk id="219" max="15" man="1"/>
        <brk id="231" max="15" man="1"/>
        <brk id="257" max="15" man="1"/>
        <brk id="270" max="15" man="1"/>
        <brk id="302" max="15" man="1"/>
        <brk id="330" max="15" man="1"/>
        <brk id="360" max="15" man="1"/>
        <brk id="375" max="15" man="1"/>
        <brk id="405" max="15" man="1"/>
        <brk id="412" max="15" man="1"/>
        <brk id="435" max="15" man="1"/>
        <brk id="440" max="15" man="1"/>
        <brk id="465" max="15" man="1"/>
        <brk id="487" max="15" man="1"/>
        <brk id="526" max="15" man="1"/>
        <brk id="538" max="15" man="1"/>
        <brk id="596" max="15" man="1"/>
        <brk id="637" max="15" man="1"/>
        <brk id="661" max="15" man="1"/>
        <brk id="676" max="15" man="1"/>
        <brk id="713" max="15" man="1"/>
        <brk id="746" max="15" man="1"/>
        <brk id="775" max="15" man="1"/>
        <brk id="794" max="15" man="1"/>
        <brk id="840" max="15" man="1"/>
        <brk id="864" max="15" man="1"/>
        <brk id="894" max="15" man="1"/>
        <brk id="905" max="15" man="1"/>
        <brk id="936" max="15" man="1"/>
        <brk id="949" max="15" man="1"/>
        <brk id="982" max="15" man="1"/>
        <brk id="1015" max="15" man="1"/>
        <brk id="1091" max="14" man="1"/>
        <brk id="1146" max="14" man="1"/>
        <brk id="1161" max="10" man="1"/>
        <brk id="1197" max="10" man="1"/>
        <brk id="1237" max="10" man="1"/>
        <brk id="1276" max="10" man="1"/>
        <brk id="1314" max="10" man="1"/>
        <brk id="1350" max="10" man="1"/>
        <brk id="1387" max="10" man="1"/>
        <brk id="1425" max="10" man="1"/>
        <brk id="1460" max="10" man="1"/>
        <brk id="1496" max="10" man="1"/>
        <brk id="1536" max="10" man="1"/>
        <brk id="1575" max="10" man="1"/>
        <brk id="1614" max="10" man="1"/>
        <brk id="1654" max="10" man="1"/>
        <brk id="1692" max="10" man="1"/>
        <brk id="1727" max="10" man="1"/>
        <brk id="1757" max="10" man="1"/>
        <brk id="1794" max="10" man="1"/>
        <brk id="1831" max="10" man="1"/>
        <brk id="1866" max="10" man="1"/>
        <brk id="1908" max="10" man="1"/>
        <brk id="1962" max="10" man="1"/>
      </rowBreaks>
      <pageMargins left="0" right="0" top="0.9055118110236221" bottom="0" header="0" footer="0"/>
      <printOptions horizontalCentered="1"/>
      <pageSetup paperSize="8" scale="29" fitToHeight="0" orientation="landscape" r:id="rId9"/>
    </customSheetView>
    <customSheetView guid="{37F8CE32-8CE8-4D95-9C0E-63112E6EFFE9}" scale="30" showPageBreaks="1" printArea="1" hiddenRows="1" hiddenColumns="1" view="pageBreakPreview" showRuler="0" topLeftCell="A4">
      <pane xSplit="2" ySplit="7" topLeftCell="L11" activePane="bottomRight" state="frozen"/>
      <selection pane="bottomRight" activeCell="L119" sqref="L119"/>
      <rowBreaks count="43" manualBreakCount="43">
        <brk id="95" max="15" man="1"/>
        <brk id="123" max="15" man="1"/>
        <brk id="172" max="15" man="1"/>
        <brk id="224" max="15" man="1"/>
        <brk id="263" max="15" man="1"/>
        <brk id="323" max="15" man="1"/>
        <brk id="368" max="15" man="1"/>
        <brk id="405" max="15" man="1"/>
        <brk id="433" max="15" man="1"/>
        <brk id="480" max="15" man="1"/>
        <brk id="531" max="15" man="1"/>
        <brk id="623" max="15" man="1"/>
        <brk id="662" max="15" man="1"/>
        <brk id="732" max="15" man="1"/>
        <brk id="780" max="15" man="1"/>
        <brk id="850" max="15" man="1"/>
        <brk id="891" max="15" man="1"/>
        <brk id="935" max="15" man="1"/>
        <brk id="987" max="15" man="1"/>
        <brk id="1077" max="14" man="1"/>
        <brk id="1132" max="14" man="1"/>
        <brk id="1147" max="10" man="1"/>
        <brk id="1183" max="10" man="1"/>
        <brk id="1223" max="10" man="1"/>
        <brk id="1262" max="10" man="1"/>
        <brk id="1300" max="10" man="1"/>
        <brk id="1336" max="10" man="1"/>
        <brk id="1373" max="10" man="1"/>
        <brk id="1411" max="10" man="1"/>
        <brk id="1446" max="10" man="1"/>
        <brk id="1482" max="10" man="1"/>
        <brk id="1522" max="10" man="1"/>
        <brk id="1561" max="10" man="1"/>
        <brk id="1600" max="10" man="1"/>
        <brk id="1640" max="10" man="1"/>
        <brk id="1678" max="10" man="1"/>
        <brk id="1713" max="10" man="1"/>
        <brk id="1743" max="10" man="1"/>
        <brk id="1780" max="10" man="1"/>
        <brk id="1817" max="10" man="1"/>
        <brk id="1852" max="10" man="1"/>
        <brk id="1894" max="10" man="1"/>
        <brk id="1948" max="10" man="1"/>
      </rowBreaks>
      <pageMargins left="0" right="0" top="0.9055118110236221" bottom="0" header="0" footer="0"/>
      <printOptions horizontalCentered="1"/>
      <pageSetup paperSize="8" scale="29" fitToHeight="0" orientation="landscape" r:id="rId10"/>
      <headerFooter alignWithMargins="0"/>
    </customSheetView>
    <customSheetView guid="{24E5C1BC-322C-4FEF-B964-F0DCC04482C1}" scale="25" showPageBreaks="1" fitToPage="1" hiddenRows="1" hiddenColumns="1" view="pageBreakPreview">
      <pane xSplit="1" ySplit="10" topLeftCell="J501" activePane="bottomRight" state="frozen"/>
      <selection pane="bottomRight" activeCell="AC507" sqref="AB507:AC507"/>
      <rowBreaks count="52" manualBreakCount="52">
        <brk id="53" max="16383" man="1"/>
        <brk id="88" max="16383" man="1"/>
        <brk id="116" max="16383" man="1"/>
        <brk id="138" max="16383" man="1"/>
        <brk id="179" max="16383" man="1"/>
        <brk id="192" max="16383" man="1"/>
        <brk id="233" max="16383" man="1"/>
        <brk id="266" max="16383" man="1"/>
        <brk id="294" max="16383" man="1"/>
        <brk id="329" max="16383" man="1"/>
        <brk id="363" max="16383" man="1"/>
        <brk id="390" max="16383" man="1"/>
        <brk id="423" max="16383" man="1"/>
        <brk id="465" max="16383" man="1"/>
        <brk id="498" max="16383" man="1"/>
        <brk id="527" max="16383" man="1"/>
        <brk id="554" max="16383" man="1"/>
        <brk id="587" max="16383" man="1"/>
        <brk id="629" max="16383" man="1"/>
        <brk id="677" max="16383" man="1"/>
        <brk id="726" max="16383" man="1"/>
        <brk id="768" max="16383" man="1"/>
        <brk id="802" max="16383" man="1"/>
        <brk id="841" max="16383" man="1"/>
        <brk id="877" max="16383" man="1"/>
        <brk id="901" max="16383" man="1"/>
        <brk id="909" max="16383" man="1"/>
        <brk id="999" max="14" man="1"/>
        <brk id="1054" max="14" man="1"/>
        <brk id="1069" max="10" man="1"/>
        <brk id="1105" max="10" man="1"/>
        <brk id="1145" max="10" man="1"/>
        <brk id="1184" max="10" man="1"/>
        <brk id="1222" max="10" man="1"/>
        <brk id="1258" max="10" man="1"/>
        <brk id="1295" max="10" man="1"/>
        <brk id="1333" max="10" man="1"/>
        <brk id="1368" max="10" man="1"/>
        <brk id="1404" max="10" man="1"/>
        <brk id="1444" max="10" man="1"/>
        <brk id="1483" max="10" man="1"/>
        <brk id="1522" max="10" man="1"/>
        <brk id="1562" max="10" man="1"/>
        <brk id="1600" max="10" man="1"/>
        <brk id="1635" max="10" man="1"/>
        <brk id="1665" max="10" man="1"/>
        <brk id="1702" max="10" man="1"/>
        <brk id="1739" max="10" man="1"/>
        <brk id="1774" max="10" man="1"/>
        <brk id="1816" max="10" man="1"/>
        <brk id="1870" max="10" man="1"/>
        <brk id="1888" max="10" man="1"/>
      </rowBreaks>
      <pageMargins left="0" right="0" top="0.70866141732283472" bottom="0.19685039370078741" header="0" footer="0"/>
      <printOptions horizontalCentered="1"/>
      <pageSetup paperSize="8" scale="30" fitToHeight="0" orientation="landscape" horizontalDpi="4294967293" r:id="rId11"/>
    </customSheetView>
    <customSheetView guid="{2DF88C31-E5A0-4DFE-877D-5A31D3992603}" scale="40" showPageBreaks="1" fitToPage="1" printArea="1" hiddenRows="1" view="pageBreakPreview" topLeftCell="A4">
      <pane xSplit="2" ySplit="7" topLeftCell="H664" activePane="bottomRight" state="frozen"/>
      <selection pane="bottomRight" activeCell="J675" sqref="J675"/>
      <rowBreaks count="59" manualBreakCount="59">
        <brk id="46" max="15" man="1"/>
        <brk id="95" max="15" man="1"/>
        <brk id="123" max="15" man="1"/>
        <brk id="124" max="15" man="1"/>
        <brk id="170" max="15" man="1"/>
        <brk id="212" max="15" man="1"/>
        <brk id="240" max="15" man="1"/>
        <brk id="272" max="15" man="1"/>
        <brk id="312" max="15" man="1"/>
        <brk id="363" max="15" man="1"/>
        <brk id="364" max="15" man="1"/>
        <brk id="377" max="15" man="1"/>
        <brk id="419" max="15" man="1"/>
        <brk id="457" max="15" man="1"/>
        <brk id="458" max="15" man="1"/>
        <brk id="482" max="15" man="1"/>
        <brk id="534" max="15" man="1"/>
        <brk id="541" max="15" man="1"/>
        <brk id="590" max="15" man="1"/>
        <brk id="591" max="15" man="1"/>
        <brk id="631" max="15" man="1"/>
        <brk id="671" max="15" man="1"/>
        <brk id="715" max="15" man="1"/>
        <brk id="717" max="15" man="1"/>
        <brk id="728" max="15" man="1"/>
        <brk id="767" max="15" man="1"/>
        <brk id="790" max="15" man="1"/>
        <brk id="800" max="15" man="1"/>
        <brk id="843" max="15" man="1"/>
        <brk id="880" max="15" man="1"/>
        <brk id="930" max="15" man="1"/>
        <brk id="931" max="15" man="1"/>
        <brk id="973" max="15" man="1"/>
        <brk id="1029" max="15" man="1"/>
        <brk id="1071" max="15" man="1"/>
        <brk id="1105" max="14" man="1"/>
        <brk id="1160" max="14" man="1"/>
        <brk id="1175" max="10" man="1"/>
        <brk id="1211" max="10" man="1"/>
        <brk id="1251" max="10" man="1"/>
        <brk id="1290" max="10" man="1"/>
        <brk id="1328" max="10" man="1"/>
        <brk id="1364" max="10" man="1"/>
        <brk id="1401" max="10" man="1"/>
        <brk id="1439" max="10" man="1"/>
        <brk id="1474" max="10" man="1"/>
        <brk id="1510" max="10" man="1"/>
        <brk id="1550" max="10" man="1"/>
        <brk id="1589" max="10" man="1"/>
        <brk id="1628" max="10" man="1"/>
        <brk id="1668" max="10" man="1"/>
        <brk id="1706" max="10" man="1"/>
        <brk id="1741" max="10" man="1"/>
        <brk id="1771" max="10" man="1"/>
        <brk id="1808" max="10" man="1"/>
        <brk id="1845" max="10" man="1"/>
        <brk id="1880" max="10" man="1"/>
        <brk id="1922" max="10" man="1"/>
        <brk id="1976" max="10" man="1"/>
      </rowBreaks>
      <pageMargins left="0" right="0" top="0.9055118110236221" bottom="0" header="0" footer="0"/>
      <printOptions horizontalCentered="1"/>
      <pageSetup paperSize="8" scale="38" fitToHeight="0" orientation="landscape" r:id="rId12"/>
    </customSheetView>
    <customSheetView guid="{9E943B7D-D4C7-443F-BC4C-8AB90546D8A5}" scale="40" showPageBreaks="1" zeroValues="0" fitToPage="1" showAutoFilter="1" hiddenRows="1" hiddenColumns="1" view="pageBreakPreview" topLeftCell="A4">
      <pane xSplit="2" ySplit="7" topLeftCell="D714" activePane="bottomRight" state="frozen"/>
      <selection pane="bottomRight" activeCell="M818" sqref="M818"/>
      <rowBreaks count="42" manualBreakCount="42">
        <brk id="99" max="17" man="1"/>
        <brk id="134" max="17" man="1"/>
        <brk id="180" max="16383" man="1"/>
        <brk id="249" max="17" man="1"/>
        <brk id="266" max="17" man="1"/>
        <brk id="300" max="16383" man="1"/>
        <brk id="435" max="16383" man="1"/>
        <brk id="489" max="17" man="1"/>
        <brk id="535" max="17" man="1"/>
        <brk id="579" max="17" man="1"/>
        <brk id="632" max="17" man="1"/>
        <brk id="695" max="16383" man="1"/>
        <brk id="763" max="16383" man="1"/>
        <brk id="814" max="16383" man="1"/>
        <brk id="876" max="16383" man="1"/>
        <brk id="1024" max="17" man="1"/>
        <brk id="1085" max="16383" man="1"/>
        <brk id="1146" max="17" man="1"/>
        <brk id="1210" max="14" man="1"/>
        <brk id="1265" max="14" man="1"/>
        <brk id="1280" max="10" man="1"/>
        <brk id="1316" max="10" man="1"/>
        <brk id="1356" max="10" man="1"/>
        <brk id="1395" max="10" man="1"/>
        <brk id="1433" max="10" man="1"/>
        <brk id="1469" max="10" man="1"/>
        <brk id="1506" max="10" man="1"/>
        <brk id="1544" max="10" man="1"/>
        <brk id="1579" max="10" man="1"/>
        <brk id="1615" max="10" man="1"/>
        <brk id="1655" max="10" man="1"/>
        <brk id="1694" max="10" man="1"/>
        <brk id="1733" max="10" man="1"/>
        <brk id="1773" max="10" man="1"/>
        <brk id="1811" max="10" man="1"/>
        <brk id="1846" max="10" man="1"/>
        <brk id="1876" max="10" man="1"/>
        <brk id="1913" max="10" man="1"/>
        <brk id="1950" max="10" man="1"/>
        <brk id="1985" max="10" man="1"/>
        <brk id="2027" max="10" man="1"/>
        <brk id="2081" max="10" man="1"/>
      </rowBreaks>
      <pageMargins left="0" right="0" top="0.39370078740157483" bottom="0" header="0" footer="0"/>
      <printOptions horizontalCentered="1"/>
      <pageSetup paperSize="8" scale="39" fitToHeight="0" orientation="landscape" r:id="rId13"/>
      <autoFilter ref="B1:T1"/>
    </customSheetView>
    <customSheetView guid="{F2110B0B-AAE7-42F0-B553-C360E9249AD4}" scale="48" showPageBreaks="1" outlineSymbols="0" zeroValues="0" fitToPage="1" printArea="1" showAutoFilter="1" hiddenColumns="1" view="pageBreakPreview" topLeftCell="A4">
      <pane xSplit="2" ySplit="7" topLeftCell="L726" activePane="bottomRight" state="frozen"/>
      <selection pane="bottomRight" activeCell="S728" sqref="S728:S733"/>
      <pageMargins left="0" right="0" top="0.9055118110236221" bottom="0.47" header="0" footer="0"/>
      <printOptions horizontalCentered="1"/>
      <pageSetup paperSize="8" scale="42" fitToHeight="0" orientation="landscape" r:id="rId14"/>
      <autoFilter ref="A9:T1142"/>
    </customSheetView>
    <customSheetView guid="{D7BC8E82-4392-4806-9DAE-D94253790B9C}" scale="48" showPageBreaks="1" outlineSymbols="0" zeroValues="0" fitToPage="1" printArea="1" showAutoFilter="1" hiddenColumns="1" view="pageBreakPreview" topLeftCell="A4">
      <pane xSplit="2" ySplit="7" topLeftCell="L909" activePane="bottomRight" state="frozen"/>
      <selection pane="bottomRight" activeCell="S925" sqref="S925:S930"/>
      <rowBreaks count="4" manualBreakCount="4">
        <brk id="70" max="85" man="1"/>
        <brk id="88" max="85" man="1"/>
        <brk id="260" max="85" man="1"/>
        <brk id="320" max="85" man="1"/>
      </rowBreaks>
      <pageMargins left="0" right="0" top="0.9055118110236221" bottom="0.47" header="0" footer="0"/>
      <printOptions horizontalCentered="1"/>
      <pageSetup paperSize="8" scale="42" fitToHeight="0" orientation="landscape" r:id="rId15"/>
      <autoFilter ref="A9:T1161"/>
    </customSheetView>
    <customSheetView guid="{A6B98527-7CBF-4E4D-BDEA-9334A3EB779F}" scale="57" showPageBreaks="1" outlineSymbols="0" zeroValues="0" fitToPage="1" printArea="1" showAutoFilter="1" hiddenColumns="1" view="pageBreakPreview" topLeftCell="A4">
      <pane xSplit="2" ySplit="7" topLeftCell="C11" activePane="bottomRight" state="frozen"/>
      <selection pane="bottomRight" activeCell="G15" sqref="G15"/>
      <pageMargins left="0" right="0" top="0.9055118110236221" bottom="0.47" header="0" footer="0"/>
      <printOptions horizontalCentered="1"/>
      <pageSetup paperSize="8" scale="42" fitToHeight="0" orientation="landscape" r:id="rId16"/>
      <autoFilter ref="A9:S1185"/>
    </customSheetView>
    <customSheetView guid="{D20DFCFE-63F9-4265-B37B-4F36C46DF159}" scale="40" showPageBreaks="1" outlineSymbols="0" zeroValues="0" fitToPage="1" printArea="1" showAutoFilter="1" hiddenRows="1" hiddenColumns="1" view="pageBreakPreview" topLeftCell="A4">
      <pane xSplit="2" ySplit="7" topLeftCell="C963" activePane="bottomRight" state="frozen"/>
      <selection pane="bottomRight" activeCell="A782" sqref="A778:XFD782"/>
      <rowBreaks count="29" manualBreakCount="29">
        <brk id="174" max="18" man="1"/>
        <brk id="208" max="18" man="1"/>
        <brk id="1019" max="18" man="1"/>
        <brk id="1069" max="18" man="1"/>
        <brk id="1126" max="18" man="1"/>
        <brk id="1197" max="18" man="1"/>
        <brk id="1252" max="14" man="1"/>
        <brk id="1267" max="10" man="1"/>
        <brk id="1303" max="10" man="1"/>
        <brk id="1343" max="10" man="1"/>
        <brk id="1382" max="10" man="1"/>
        <brk id="1420" max="10" man="1"/>
        <brk id="1456" max="10" man="1"/>
        <brk id="1493" max="10" man="1"/>
        <brk id="1531" max="10" man="1"/>
        <brk id="1566" max="10" man="1"/>
        <brk id="1602" max="10" man="1"/>
        <brk id="1642" max="10" man="1"/>
        <brk id="1681" max="10" man="1"/>
        <brk id="1720" max="10" man="1"/>
        <brk id="1760" max="10" man="1"/>
        <brk id="1798" max="10" man="1"/>
        <brk id="1833" max="10" man="1"/>
        <brk id="1863" max="10" man="1"/>
        <brk id="1900" max="10" man="1"/>
        <brk id="1937" max="10" man="1"/>
        <brk id="1972" max="10" man="1"/>
        <brk id="2014" max="10" man="1"/>
        <brk id="2068" max="10" man="1"/>
      </rowBreaks>
      <pageMargins left="0" right="0" top="0.9055118110236221" bottom="0" header="0" footer="0"/>
      <printOptions horizontalCentered="1"/>
      <pageSetup paperSize="8" scale="42" fitToHeight="0" orientation="landscape" r:id="rId17"/>
      <autoFilter ref="A9:S1185"/>
    </customSheetView>
    <customSheetView guid="{539CB3DF-9B66-4BE7-9074-8CE0405EB8A6}" scale="40" showPageBreaks="1" outlineSymbols="0" zeroValues="0" fitToPage="1" printArea="1" showAutoFilter="1" hiddenColumns="1" view="pageBreakPreview" topLeftCell="A4">
      <pane xSplit="4" ySplit="7" topLeftCell="J170" activePane="bottomRight" state="frozen"/>
      <selection pane="bottomRight" activeCell="P182" sqref="P182"/>
      <rowBreaks count="29" manualBreakCount="29">
        <brk id="174" max="18" man="1"/>
        <brk id="208" max="18" man="1"/>
        <brk id="1036" max="18" man="1"/>
        <brk id="1086" max="18" man="1"/>
        <brk id="1143" max="18" man="1"/>
        <brk id="1214" max="18" man="1"/>
        <brk id="1269" max="14" man="1"/>
        <brk id="1284" max="10" man="1"/>
        <brk id="1320" max="10" man="1"/>
        <brk id="1360" max="10" man="1"/>
        <brk id="1399" max="10" man="1"/>
        <brk id="1437" max="10" man="1"/>
        <brk id="1473" max="10" man="1"/>
        <brk id="1510" max="10" man="1"/>
        <brk id="1548" max="10" man="1"/>
        <brk id="1583" max="10" man="1"/>
        <brk id="1619" max="10" man="1"/>
        <brk id="1659" max="10" man="1"/>
        <brk id="1698" max="10" man="1"/>
        <brk id="1737" max="10" man="1"/>
        <brk id="1777" max="10" man="1"/>
        <brk id="1815" max="10" man="1"/>
        <brk id="1850" max="10" man="1"/>
        <brk id="1880" max="10" man="1"/>
        <brk id="1917" max="10" man="1"/>
        <brk id="1954" max="10" man="1"/>
        <brk id="1989" max="10" man="1"/>
        <brk id="2031" max="10" man="1"/>
        <brk id="2085" max="10" man="1"/>
      </rowBreaks>
      <pageMargins left="0" right="0" top="0.9055118110236221" bottom="0" header="0" footer="0"/>
      <printOptions horizontalCentered="1"/>
      <pageSetup paperSize="8" scale="43" fitToHeight="0" orientation="landscape" r:id="rId18"/>
      <autoFilter ref="A7:P393"/>
    </customSheetView>
    <customSheetView guid="{998B8119-4FF3-4A16-838D-539C6AE34D55}" scale="40" showPageBreaks="1" outlineSymbols="0" zeroValues="0" fitToPage="1" printArea="1" showAutoFilter="1" hiddenRows="1" hiddenColumns="1" view="pageBreakPreview" topLeftCell="A4">
      <pane xSplit="4" ySplit="7" topLeftCell="F163" activePane="bottomRight" state="frozen"/>
      <selection pane="bottomRight" activeCell="F144" sqref="F144:G149"/>
      <rowBreaks count="29" manualBreakCount="29">
        <brk id="175" max="18" man="1"/>
        <brk id="209" max="18" man="1"/>
        <brk id="1033" max="18" man="1"/>
        <brk id="1083" max="18" man="1"/>
        <brk id="1140" max="18" man="1"/>
        <brk id="1211" max="18" man="1"/>
        <brk id="1266" max="14" man="1"/>
        <brk id="1281" max="10" man="1"/>
        <brk id="1317" max="10" man="1"/>
        <brk id="1357" max="10" man="1"/>
        <brk id="1396" max="10" man="1"/>
        <brk id="1434" max="10" man="1"/>
        <brk id="1470" max="10" man="1"/>
        <brk id="1507" max="10" man="1"/>
        <brk id="1545" max="10" man="1"/>
        <brk id="1580" max="10" man="1"/>
        <brk id="1616" max="10" man="1"/>
        <brk id="1656" max="10" man="1"/>
        <brk id="1695" max="10" man="1"/>
        <brk id="1734" max="10" man="1"/>
        <brk id="1774" max="10" man="1"/>
        <brk id="1812" max="10" man="1"/>
        <brk id="1847" max="10" man="1"/>
        <brk id="1877" max="10" man="1"/>
        <brk id="1914" max="10" man="1"/>
        <brk id="1951" max="10" man="1"/>
        <brk id="1986" max="10" man="1"/>
        <brk id="2028" max="10" man="1"/>
        <brk id="2082" max="10" man="1"/>
      </rowBreaks>
      <pageMargins left="0" right="0" top="0.9055118110236221" bottom="0" header="0" footer="0"/>
      <printOptions horizontalCentered="1"/>
      <pageSetup paperSize="8" scale="27" fitToHeight="0" orientation="landscape" r:id="rId19"/>
      <autoFilter ref="A7:P401"/>
    </customSheetView>
    <customSheetView guid="{9FA29541-62F4-4CED-BF33-19F6BA57578F}" scale="40" showPageBreaks="1" outlineSymbols="0" zeroValues="0" printArea="1" showAutoFilter="1" hiddenColumns="1" view="pageBreakPreview" topLeftCell="A4">
      <pane xSplit="4" ySplit="4" topLeftCell="K167" activePane="bottomRight" state="frozen"/>
      <selection pane="bottomRight" activeCell="P172" sqref="P172:P175"/>
      <rowBreaks count="2" manualBreakCount="2">
        <brk id="77" max="15" man="1"/>
        <brk id="171" max="15" man="1"/>
      </rowBreaks>
      <pageMargins left="0" right="0" top="0.9055118110236221" bottom="0" header="0" footer="0"/>
      <printOptions horizontalCentered="1"/>
      <pageSetup paperSize="8" scale="45" fitToHeight="9" orientation="landscape" r:id="rId20"/>
      <autoFilter ref="A7:P401"/>
    </customSheetView>
    <customSheetView guid="{45DE1976-7F07-4EB4-8A9C-FB72D060BEFA}" scale="40" showPageBreaks="1" outlineSymbols="0" zeroValues="0" fitToPage="1" printArea="1" showAutoFilter="1" hiddenRows="1" hiddenColumns="1" view="pageBreakPreview" topLeftCell="F176">
      <selection activeCell="P181" sqref="P181:P186"/>
      <rowBreaks count="30" manualBreakCount="30">
        <brk id="147" max="15" man="1"/>
        <brk id="171" max="18" man="1"/>
        <brk id="205" max="18" man="1"/>
        <brk id="1016" max="18" man="1"/>
        <brk id="1066" max="18" man="1"/>
        <brk id="1123" max="18" man="1"/>
        <brk id="1194" max="18" man="1"/>
        <brk id="1249" max="14" man="1"/>
        <brk id="1264" max="10" man="1"/>
        <brk id="1300" max="10" man="1"/>
        <brk id="1340" max="10" man="1"/>
        <brk id="1379" max="10" man="1"/>
        <brk id="1417" max="10" man="1"/>
        <brk id="1453" max="10" man="1"/>
        <brk id="1490" max="10" man="1"/>
        <brk id="1528" max="10" man="1"/>
        <brk id="1563" max="10" man="1"/>
        <brk id="1599" max="10" man="1"/>
        <brk id="1639" max="10" man="1"/>
        <brk id="1678" max="10" man="1"/>
        <brk id="1717" max="10" man="1"/>
        <brk id="1757" max="10" man="1"/>
        <brk id="1795" max="10" man="1"/>
        <brk id="1830" max="10" man="1"/>
        <brk id="1860" max="10" man="1"/>
        <brk id="1897" max="10" man="1"/>
        <brk id="1934" max="10" man="1"/>
        <brk id="1969" max="10" man="1"/>
        <brk id="2011" max="10" man="1"/>
        <brk id="2065" max="10" man="1"/>
      </rowBreaks>
      <pageMargins left="0" right="0" top="0.9055118110236221" bottom="0" header="0" footer="0"/>
      <printOptions horizontalCentered="1"/>
      <pageSetup paperSize="8" scale="38" fitToHeight="0" orientation="landscape" r:id="rId21"/>
      <autoFilter ref="A7:P398"/>
    </customSheetView>
    <customSheetView guid="{5FB953A5-71FF-4056-AF98-C9D06FF0EDF3}" scale="35" showPageBreaks="1" outlineSymbols="0" zeroValues="0" fitToPage="1" printArea="1" showAutoFilter="1" hiddenColumns="1" view="pageBreakPreview" topLeftCell="A5">
      <pane xSplit="4" ySplit="4" topLeftCell="F9" activePane="bottomRight" state="frozen"/>
      <selection pane="bottomRight" activeCell="F9" sqref="F9"/>
      <rowBreaks count="29" manualBreakCount="29">
        <brk id="175" max="18" man="1"/>
        <brk id="209" max="18" man="1"/>
        <brk id="1033" max="18" man="1"/>
        <brk id="1083" max="18" man="1"/>
        <brk id="1140" max="18" man="1"/>
        <brk id="1211" max="18" man="1"/>
        <brk id="1266" max="14" man="1"/>
        <brk id="1281" max="10" man="1"/>
        <brk id="1317" max="10" man="1"/>
        <brk id="1357" max="10" man="1"/>
        <brk id="1396" max="10" man="1"/>
        <brk id="1434" max="10" man="1"/>
        <brk id="1470" max="10" man="1"/>
        <brk id="1507" max="10" man="1"/>
        <brk id="1545" max="10" man="1"/>
        <brk id="1580" max="10" man="1"/>
        <brk id="1616" max="10" man="1"/>
        <brk id="1656" max="10" man="1"/>
        <brk id="1695" max="10" man="1"/>
        <brk id="1734" max="10" man="1"/>
        <brk id="1774" max="10" man="1"/>
        <brk id="1812" max="10" man="1"/>
        <brk id="1847" max="10" man="1"/>
        <brk id="1877" max="10" man="1"/>
        <brk id="1914" max="10" man="1"/>
        <brk id="1951" max="10" man="1"/>
        <brk id="1986" max="10" man="1"/>
        <brk id="2028" max="10" man="1"/>
        <brk id="2082" max="10" man="1"/>
      </rowBreaks>
      <pageMargins left="0" right="0" top="0.9055118110236221" bottom="0" header="0" footer="0"/>
      <printOptions horizontalCentered="1"/>
      <pageSetup paperSize="8" scale="39" fitToHeight="0" orientation="landscape" r:id="rId22"/>
      <autoFilter ref="A7:P398"/>
    </customSheetView>
    <customSheetView guid="{5EB1B5BB-79BE-4318-9140-3FA31802D519}" scale="40" showPageBreaks="1" outlineSymbols="0" zeroValues="0" fitToPage="1" printArea="1" showAutoFilter="1" hiddenColumns="1" view="pageBreakPreview" topLeftCell="A4">
      <pane xSplit="4" ySplit="7" topLeftCell="J35" activePane="bottomRight" state="frozen"/>
      <selection pane="bottomRight" activeCell="L39" sqref="L39"/>
      <rowBreaks count="29" manualBreakCount="29">
        <brk id="180" max="18" man="1"/>
        <brk id="214" max="18" man="1"/>
        <brk id="1037" max="18" man="1"/>
        <brk id="1087" max="18" man="1"/>
        <brk id="1144" max="18" man="1"/>
        <brk id="1215" max="18" man="1"/>
        <brk id="1270" max="14" man="1"/>
        <brk id="1285" max="10" man="1"/>
        <brk id="1321" max="10" man="1"/>
        <brk id="1361" max="10" man="1"/>
        <brk id="1400" max="10" man="1"/>
        <brk id="1438" max="10" man="1"/>
        <brk id="1474" max="10" man="1"/>
        <brk id="1511" max="10" man="1"/>
        <brk id="1549" max="10" man="1"/>
        <brk id="1584" max="10" man="1"/>
        <brk id="1620" max="10" man="1"/>
        <brk id="1660" max="10" man="1"/>
        <brk id="1699" max="10" man="1"/>
        <brk id="1738" max="10" man="1"/>
        <brk id="1778" max="10" man="1"/>
        <brk id="1816" max="10" man="1"/>
        <brk id="1851" max="10" man="1"/>
        <brk id="1881" max="10" man="1"/>
        <brk id="1918" max="10" man="1"/>
        <brk id="1955" max="10" man="1"/>
        <brk id="1990" max="10" man="1"/>
        <brk id="2032" max="10" man="1"/>
        <brk id="2086" max="10" man="1"/>
      </rowBreaks>
      <pageMargins left="0" right="0" top="0.9055118110236221" bottom="0" header="0" footer="0"/>
      <printOptions horizontalCentered="1"/>
      <pageSetup paperSize="8" scale="39" fitToHeight="0" orientation="landscape" r:id="rId23"/>
      <autoFilter ref="A7:P404"/>
    </customSheetView>
    <customSheetView guid="{67ADFAE6-A9AF-44D7-8539-93CD0F6B7849}" scale="40" showPageBreaks="1" outlineSymbols="0" zeroValues="0" fitToPage="1" printArea="1" showAutoFilter="1" hiddenColumns="1" view="pageBreakPreview" topLeftCell="A4">
      <pane xSplit="4" ySplit="7" topLeftCell="K184" activePane="bottomRight" state="frozen"/>
      <selection pane="bottomRight" activeCell="P187" sqref="P187:P192"/>
      <rowBreaks count="31" manualBreakCount="31">
        <brk id="41" max="15" man="1"/>
        <brk id="109" max="15" man="1"/>
        <brk id="146" max="15" man="1"/>
        <brk id="208" max="18" man="1"/>
        <brk id="1031" max="18" man="1"/>
        <brk id="1081" max="18" man="1"/>
        <brk id="1138" max="18" man="1"/>
        <brk id="1209" max="18" man="1"/>
        <brk id="1264" max="14" man="1"/>
        <brk id="1279" max="10" man="1"/>
        <brk id="1315" max="10" man="1"/>
        <brk id="1355" max="10" man="1"/>
        <brk id="1394" max="10" man="1"/>
        <brk id="1432" max="10" man="1"/>
        <brk id="1468" max="10" man="1"/>
        <brk id="1505" max="10" man="1"/>
        <brk id="1543" max="10" man="1"/>
        <brk id="1578" max="10" man="1"/>
        <brk id="1614" max="10" man="1"/>
        <brk id="1654" max="10" man="1"/>
        <brk id="1693" max="10" man="1"/>
        <brk id="1732" max="10" man="1"/>
        <brk id="1772" max="10" man="1"/>
        <brk id="1810" max="10" man="1"/>
        <brk id="1845" max="10" man="1"/>
        <brk id="1875" max="10" man="1"/>
        <brk id="1912" max="10" man="1"/>
        <brk id="1949" max="10" man="1"/>
        <brk id="1984" max="10" man="1"/>
        <brk id="2026" max="10" man="1"/>
        <brk id="2080" max="10" man="1"/>
      </rowBreaks>
      <pageMargins left="0" right="0" top="0.9055118110236221" bottom="0" header="0" footer="0"/>
      <printOptions horizontalCentered="1"/>
      <pageSetup paperSize="8" scale="38" fitToHeight="0" orientation="landscape" horizontalDpi="4294967293" r:id="rId24"/>
      <autoFilter ref="A7:P404"/>
    </customSheetView>
  </customSheetViews>
  <mergeCells count="77">
    <mergeCell ref="A154:A155"/>
    <mergeCell ref="P135:P140"/>
    <mergeCell ref="P109:P110"/>
    <mergeCell ref="P117:P122"/>
    <mergeCell ref="P123:P128"/>
    <mergeCell ref="P129:P134"/>
    <mergeCell ref="A147:A153"/>
    <mergeCell ref="P147:P153"/>
    <mergeCell ref="B154:B155"/>
    <mergeCell ref="F154:F155"/>
    <mergeCell ref="G154:G155"/>
    <mergeCell ref="H154:H155"/>
    <mergeCell ref="I154:I155"/>
    <mergeCell ref="O147:O148"/>
    <mergeCell ref="K154:K155"/>
    <mergeCell ref="B147:B148"/>
    <mergeCell ref="H29:H30"/>
    <mergeCell ref="A15:A20"/>
    <mergeCell ref="B21:B23"/>
    <mergeCell ref="F21:F23"/>
    <mergeCell ref="G21:G23"/>
    <mergeCell ref="H21:H23"/>
    <mergeCell ref="A21:A22"/>
    <mergeCell ref="B29:B30"/>
    <mergeCell ref="A29:A30"/>
    <mergeCell ref="F29:F30"/>
    <mergeCell ref="G29:G30"/>
    <mergeCell ref="A3:P3"/>
    <mergeCell ref="J6:K6"/>
    <mergeCell ref="A9:A14"/>
    <mergeCell ref="A5:A7"/>
    <mergeCell ref="H6:I6"/>
    <mergeCell ref="C5:C7"/>
    <mergeCell ref="G6:G7"/>
    <mergeCell ref="F5:G5"/>
    <mergeCell ref="E5:E7"/>
    <mergeCell ref="F6:F7"/>
    <mergeCell ref="B5:B7"/>
    <mergeCell ref="L5:L7"/>
    <mergeCell ref="O5:O7"/>
    <mergeCell ref="D5:D7"/>
    <mergeCell ref="P5:P7"/>
    <mergeCell ref="H5:K5"/>
    <mergeCell ref="P15:P20"/>
    <mergeCell ref="P37:P42"/>
    <mergeCell ref="P49:P54"/>
    <mergeCell ref="P21:P28"/>
    <mergeCell ref="P29:P35"/>
    <mergeCell ref="P43:P48"/>
    <mergeCell ref="P55:P60"/>
    <mergeCell ref="I21:I23"/>
    <mergeCell ref="J21:J23"/>
    <mergeCell ref="L21:L23"/>
    <mergeCell ref="M21:M23"/>
    <mergeCell ref="O29:O30"/>
    <mergeCell ref="J29:J30"/>
    <mergeCell ref="K29:K30"/>
    <mergeCell ref="L29:L30"/>
    <mergeCell ref="N21:N23"/>
    <mergeCell ref="O21:O23"/>
    <mergeCell ref="I29:I30"/>
    <mergeCell ref="K21:K23"/>
    <mergeCell ref="F147:F148"/>
    <mergeCell ref="G147:G148"/>
    <mergeCell ref="H147:H148"/>
    <mergeCell ref="I147:I148"/>
    <mergeCell ref="O154:O155"/>
    <mergeCell ref="J154:J155"/>
    <mergeCell ref="J147:J148"/>
    <mergeCell ref="K147:K148"/>
    <mergeCell ref="L147:L148"/>
    <mergeCell ref="L154:L155"/>
    <mergeCell ref="P187:P192"/>
    <mergeCell ref="P154:P160"/>
    <mergeCell ref="P173:P174"/>
    <mergeCell ref="P175:P178"/>
    <mergeCell ref="P180:P185"/>
  </mergeCells>
  <phoneticPr fontId="4" type="noConversion"/>
  <printOptions horizontalCentered="1"/>
  <pageMargins left="0" right="0" top="0.9055118110236221" bottom="0" header="0" footer="0"/>
  <pageSetup paperSize="9" scale="38" fitToHeight="0" orientation="landscape" r:id="rId25"/>
  <rowBreaks count="29" manualBreakCount="29">
    <brk id="174" max="18" man="1"/>
    <brk id="208" max="18" man="1"/>
    <brk id="1031" max="18" man="1"/>
    <brk id="1081" max="18" man="1"/>
    <brk id="1138" max="18" man="1"/>
    <brk id="1209" max="18" man="1"/>
    <brk id="1264" max="14" man="1"/>
    <brk id="1279" max="10" man="1"/>
    <brk id="1315" max="10" man="1"/>
    <brk id="1355" max="10" man="1"/>
    <brk id="1394" max="10" man="1"/>
    <brk id="1432" max="10" man="1"/>
    <brk id="1468" max="10" man="1"/>
    <brk id="1505" max="10" man="1"/>
    <brk id="1543" max="10" man="1"/>
    <brk id="1578" max="10" man="1"/>
    <brk id="1614" max="10" man="1"/>
    <brk id="1654" max="10" man="1"/>
    <brk id="1693" max="10" man="1"/>
    <brk id="1732" max="10" man="1"/>
    <brk id="1772" max="10" man="1"/>
    <brk id="1810" max="10" man="1"/>
    <brk id="1845" max="10" man="1"/>
    <brk id="1875" max="10" man="1"/>
    <brk id="1912" max="10" man="1"/>
    <brk id="1949" max="10" man="1"/>
    <brk id="1984" max="10" man="1"/>
    <brk id="2026" max="10" man="1"/>
    <brk id="2080" max="10" man="1"/>
  </rowBreaks>
  <legacy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01.12.2016</vt:lpstr>
      <vt:lpstr>'на 01.12.2016'!Заголовки_для_печати</vt:lpstr>
      <vt:lpstr>'на 01.12.2016'!Область_печати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Задума Инна Павловна</dc:creator>
  <cp:lastModifiedBy>Вершинина Мария Игоревна</cp:lastModifiedBy>
  <cp:lastPrinted>2016-12-08T06:35:23Z</cp:lastPrinted>
  <dcterms:created xsi:type="dcterms:W3CDTF">2011-12-13T05:34:09Z</dcterms:created>
  <dcterms:modified xsi:type="dcterms:W3CDTF">2016-12-15T05:00:29Z</dcterms:modified>
</cp:coreProperties>
</file>