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300" windowWidth="1980" windowHeight="1170" tabRatio="518"/>
  </bookViews>
  <sheets>
    <sheet name="на 01.10.2016" sheetId="1" r:id="rId1"/>
  </sheets>
  <definedNames>
    <definedName name="_xlnm._FilterDatabase" localSheetId="0" hidden="1">'на 01.10.2016'!$A$7:$P$401</definedName>
    <definedName name="Z_0217F586_7BE2_4803_B88F_1646729DF76E_.wvu.FilterData" localSheetId="0" hidden="1">'на 01.10.2016'!$A$7:$P$401</definedName>
    <definedName name="Z_040F7A53_882C_426B_A971_3BA4E7F819F6_.wvu.FilterData" localSheetId="0" hidden="1">'на 01.10.2016'!$A$7:$K$143</definedName>
    <definedName name="Z_05C1E2BB_B583_44DD_A8AC_FBF87A053735_.wvu.FilterData" localSheetId="0" hidden="1">'на 01.10.2016'!$A$7:$K$143</definedName>
    <definedName name="Z_05C9DD0B_EBEE_40E7_A642_8B2CDCC810BA_.wvu.FilterData" localSheetId="0" hidden="1">'на 01.10.2016'!$A$7:$K$143</definedName>
    <definedName name="Z_0623BA59_06E0_47C4_A9E0_EFF8949456C2_.wvu.FilterData" localSheetId="0" hidden="1">'на 01.10.2016'!$A$7:$K$143</definedName>
    <definedName name="Z_0644E522_2545_474C_824A_2ED6C2798897_.wvu.FilterData" localSheetId="0" hidden="1">'на 01.10.2016'!$A$7:$P$401</definedName>
    <definedName name="Z_071188D9_4773_41E2_8227_482316F94E22_.wvu.FilterData" localSheetId="0" hidden="1">'на 01.10.2016'!$A$7:$P$401</definedName>
    <definedName name="Z_079216EF_F396_45DE_93AA_DF26C49F532F_.wvu.FilterData" localSheetId="0" hidden="1">'на 01.10.2016'!$A$7:$K$143</definedName>
    <definedName name="Z_081D092E_BCFD_434D_99DD_F262EBF81A7D_.wvu.FilterData" localSheetId="0" hidden="1">'на 01.10.2016'!$A$7:$K$143</definedName>
    <definedName name="Z_081D1E71_FAB1_490F_8347_4363E467A6B8_.wvu.FilterData" localSheetId="0" hidden="1">'на 01.10.2016'!$A$7:$P$401</definedName>
    <definedName name="Z_09EDEF91_2CA5_4F56_B67B_9D290C461670_.wvu.FilterData" localSheetId="0" hidden="1">'на 01.10.2016'!$A$7:$K$143</definedName>
    <definedName name="Z_0AC3FA68_E0C8_4657_AD81_AF6345EA501C_.wvu.FilterData" localSheetId="0" hidden="1">'на 01.10.2016'!$A$7:$K$143</definedName>
    <definedName name="Z_0B579593_C56D_4394_91C1_F024BBE56EB1_.wvu.FilterData" localSheetId="0" hidden="1">'на 01.10.2016'!$A$7:$K$143</definedName>
    <definedName name="Z_0BC55D76_817D_4871_ADFD_780685E85798_.wvu.FilterData" localSheetId="0" hidden="1">'на 01.10.2016'!$A$7:$P$401</definedName>
    <definedName name="Z_0C6B39CB_8BE2_4437_B7EF_2B863FB64A7A_.wvu.FilterData" localSheetId="0" hidden="1">'на 01.10.2016'!$A$7:$K$143</definedName>
    <definedName name="Z_0C81132D_0EFB_424B_A2C0_D694846C9416_.wvu.FilterData" localSheetId="0" hidden="1">'на 01.10.2016'!$A$7:$P$401</definedName>
    <definedName name="Z_0C8C20D3_1DCE_4FE1_95B1_F35D8D398254_.wvu.FilterData" localSheetId="0" hidden="1">'на 01.10.2016'!$A$7:$K$143</definedName>
    <definedName name="Z_0CC9441C_88E9_46D0_951D_A49C84EDA8CE_.wvu.FilterData" localSheetId="0" hidden="1">'на 01.10.2016'!$A$7:$P$401</definedName>
    <definedName name="Z_0CF3E93E_60F6_45C8_AD33_C2CE08831546_.wvu.FilterData" localSheetId="0" hidden="1">'на 01.10.2016'!$A$7:$K$143</definedName>
    <definedName name="Z_0D69C398_7947_4D78_B1FE_A2A25AB79E10_.wvu.FilterData" localSheetId="0" hidden="1">'на 01.10.2016'!$A$7:$P$401</definedName>
    <definedName name="Z_0D7F5190_D20E_42FD_AD77_53CB309C7272_.wvu.FilterData" localSheetId="0" hidden="1">'на 01.10.2016'!$A$7:$K$143</definedName>
    <definedName name="Z_0E6786D8_AC3A_48D5_9AD7_4E7485DB6D9C_.wvu.FilterData" localSheetId="0" hidden="1">'на 01.10.2016'!$A$7:$K$143</definedName>
    <definedName name="Z_105D23B5_3830_4B2C_A4D4_FBFBD3BEFB9C_.wvu.FilterData" localSheetId="0" hidden="1">'на 01.10.2016'!$A$7:$K$143</definedName>
    <definedName name="Z_113A0779_204C_451B_8401_73E507046130_.wvu.FilterData" localSheetId="0" hidden="1">'на 01.10.2016'!$A$7:$P$401</definedName>
    <definedName name="Z_12397037_6208_4B36_BC95_11438284A9DE_.wvu.FilterData" localSheetId="0" hidden="1">'на 01.10.2016'!$A$7:$K$143</definedName>
    <definedName name="Z_1315266B_953C_4E7F_B538_74B6DF400647_.wvu.FilterData" localSheetId="0" hidden="1">'на 01.10.2016'!$A$7:$K$143</definedName>
    <definedName name="Z_13E7ADA2_058C_4412_9AEA_31547694DD5C_.wvu.FilterData" localSheetId="0" hidden="1">'на 01.10.2016'!$A$7:$K$143</definedName>
    <definedName name="Z_1474826F_81A7_45CE_9E32_539008BC6006_.wvu.FilterData" localSheetId="0" hidden="1">'на 01.10.2016'!$A$7:$P$401</definedName>
    <definedName name="Z_158130B9_9537_4E7D_AC4C_ED389C9B13A6_.wvu.FilterData" localSheetId="0" hidden="1">'на 01.10.2016'!$A$7:$P$401</definedName>
    <definedName name="Z_16533C21_4A9A_450C_8A94_553B88C3A9CF_.wvu.FilterData" localSheetId="0" hidden="1">'на 01.10.2016'!$A$7:$K$143</definedName>
    <definedName name="Z_1682CF4C_6BE2_4E45_A613_382D117E51BF_.wvu.FilterData" localSheetId="0" hidden="1">'на 01.10.2016'!$A$7:$P$401</definedName>
    <definedName name="Z_168FD5D4_D13B_47B9_8E56_61C627E3620F_.wvu.FilterData" localSheetId="0" hidden="1">'на 01.10.2016'!$A$7:$K$143</definedName>
    <definedName name="Z_176FBEC7_B2AF_4702_A894_382F81F9ECF6_.wvu.FilterData" localSheetId="0" hidden="1">'на 01.10.2016'!$A$7:$K$143</definedName>
    <definedName name="Z_17AEC02B_67B1_483A_97D2_C1C6DFD21518_.wvu.FilterData" localSheetId="0" hidden="1">'на 01.10.2016'!$A$7:$P$401</definedName>
    <definedName name="Z_1902C2E4_C521_44EB_B934_0EBD6E871DD8_.wvu.FilterData" localSheetId="0" hidden="1">'на 01.10.2016'!$A$7:$P$401</definedName>
    <definedName name="Z_19510E6E_7565_4AC2_BCB4_A345501456B6_.wvu.FilterData" localSheetId="0" hidden="1">'на 01.10.2016'!$A$7:$K$143</definedName>
    <definedName name="Z_1ADD4354_436F_41C7_AFD6_B73FA2D9BC20_.wvu.FilterData" localSheetId="0" hidden="1">'на 01.10.2016'!$A$7:$P$401</definedName>
    <definedName name="Z_1B943BCB_9609_428B_963E_E25F01748D7C_.wvu.FilterData" localSheetId="0" hidden="1">'на 01.10.2016'!$A$7:$P$401</definedName>
    <definedName name="Z_1C384A54_E3F0_4C1E_862E_6CD9154B364F_.wvu.FilterData" localSheetId="0" hidden="1">'на 01.10.2016'!$A$7:$P$401</definedName>
    <definedName name="Z_1C3DF549_BEC3_47F7_8F0B_A96D42597ECF_.wvu.FilterData" localSheetId="0" hidden="1">'на 01.10.2016'!$A$7:$K$143</definedName>
    <definedName name="Z_1C681B2A_8932_44D9_BF50_EA5DBCC10436_.wvu.FilterData" localSheetId="0" hidden="1">'на 01.10.2016'!$A$7:$K$143</definedName>
    <definedName name="Z_1CEF9102_6C60_416B_8820_19DA6CA2FF8F_.wvu.FilterData" localSheetId="0" hidden="1">'на 01.10.2016'!$A$7:$P$401</definedName>
    <definedName name="Z_1D2C2901_70D8_494F_B885_AA5F7F9A1D2E_.wvu.FilterData" localSheetId="0" hidden="1">'на 01.10.2016'!$A$7:$P$401</definedName>
    <definedName name="Z_1F274A4D_4DCC_44CA_A1BD_90B7EE180486_.wvu.FilterData" localSheetId="0" hidden="1">'на 01.10.2016'!$A$7:$K$143</definedName>
    <definedName name="Z_1F6B5B08_FAE9_43CF_A27B_EE7ACD6D4DF6_.wvu.FilterData" localSheetId="0" hidden="1">'на 01.10.2016'!$A$7:$P$401</definedName>
    <definedName name="Z_1F885BC0_FA2D_45E9_BC66_C7BA68F6529B_.wvu.FilterData" localSheetId="0" hidden="1">'на 01.10.2016'!$A$7:$P$401</definedName>
    <definedName name="Z_1FF678B1_7F2B_4362_81E7_D3C79ED64B95_.wvu.FilterData" localSheetId="0" hidden="1">'на 01.10.2016'!$A$7:$K$143</definedName>
    <definedName name="Z_216AEA56_C079_4104_83C7_B22F3C2C4895_.wvu.FilterData" localSheetId="0" hidden="1">'на 01.10.2016'!$A$7:$K$143</definedName>
    <definedName name="Z_2181C7D4_AA52_40AC_A808_5D532F9A4DB9_.wvu.FilterData" localSheetId="0" hidden="1">'на 01.10.2016'!$A$7:$K$143</definedName>
    <definedName name="Z_222CB208_6EE7_4ACF_9056_A80606B8DEAE_.wvu.FilterData" localSheetId="0" hidden="1">'на 01.10.2016'!$A$7:$P$401</definedName>
    <definedName name="Z_22A3361C_6866_4206_B8FA_E848438D95B8_.wvu.FilterData" localSheetId="0" hidden="1">'на 01.10.2016'!$A$7:$K$143</definedName>
    <definedName name="Z_24D1D1DF_90B3_41D1_82E1_05DE887CC58D_.wvu.FilterData" localSheetId="0" hidden="1">'на 01.10.2016'!$A$7:$K$143</definedName>
    <definedName name="Z_24E5C1BC_322C_4FEF_B964_F0DCC04482C1_.wvu.Cols" localSheetId="0" hidden="1">'на 01.10.2016'!#REF!,'на 01.10.2016'!#REF!</definedName>
    <definedName name="Z_24E5C1BC_322C_4FEF_B964_F0DCC04482C1_.wvu.FilterData" localSheetId="0" hidden="1">'на 01.10.2016'!$A$7:$K$143</definedName>
    <definedName name="Z_24E5C1BC_322C_4FEF_B964_F0DCC04482C1_.wvu.Rows" localSheetId="0" hidden="1">'на 01.10.2016'!#REF!</definedName>
    <definedName name="Z_26E7CD7D_71FD_4075_B268_E6444384CE7D_.wvu.FilterData" localSheetId="0" hidden="1">'на 01.10.2016'!$A$7:$K$143</definedName>
    <definedName name="Z_2751B79E_F60F_449F_9B1A_ED01F0EE4A3F_.wvu.FilterData" localSheetId="0" hidden="1">'на 01.10.2016'!$A$7:$P$401</definedName>
    <definedName name="Z_28008BE5_0693_468D_890E_2AE562EDDFCA_.wvu.FilterData" localSheetId="0" hidden="1">'на 01.10.2016'!$A$7:$K$143</definedName>
    <definedName name="Z_2B4EF399_1F78_4650_9196_70339D27DB54_.wvu.FilterData" localSheetId="0" hidden="1">'на 01.10.2016'!$A$7:$P$401</definedName>
    <definedName name="Z_2B67E997_66AF_4883_9EE5_9876648FDDE9_.wvu.FilterData" localSheetId="0" hidden="1">'на 01.10.2016'!$A$7:$P$401</definedName>
    <definedName name="Z_2C029299_5EEC_4151_A9E2_241D31E08692_.wvu.FilterData" localSheetId="0" hidden="1">'на 01.10.2016'!$A$7:$P$401</definedName>
    <definedName name="Z_2C47EAD7_6B0B_40AB_9599_0BF3302E35F1_.wvu.FilterData" localSheetId="0" hidden="1">'на 01.10.2016'!$A$7:$K$143</definedName>
    <definedName name="Z_2CD18B03_71F5_4B8A_8C6C_592F5A66335B_.wvu.FilterData" localSheetId="0" hidden="1">'на 01.10.2016'!$A$7:$P$401</definedName>
    <definedName name="Z_2D011736_53B8_48A8_8C2E_71DD995F6546_.wvu.FilterData" localSheetId="0" hidden="1">'на 01.10.2016'!$A$7:$P$401</definedName>
    <definedName name="Z_2D540280_F40F_4530_A32A_1FF2E78E7147_.wvu.FilterData" localSheetId="0" hidden="1">'на 01.10.2016'!$A$7:$P$401</definedName>
    <definedName name="Z_2D918A37_6905_4BEF_BC3A_DA45E968DAC3_.wvu.FilterData" localSheetId="0" hidden="1">'на 01.10.2016'!$A$7:$K$143</definedName>
    <definedName name="Z_2DF88C31_E5A0_4DFE_877D_5A31D3992603_.wvu.Rows" localSheetId="0" hidden="1">'на 01.10.2016'!#REF!,'на 01.10.2016'!#REF!,'на 01.10.2016'!#REF!,'на 01.10.2016'!#REF!,'на 01.10.2016'!#REF!,'на 01.10.2016'!#REF!,'на 01.10.2016'!#REF!,'на 01.10.2016'!#REF!,'на 01.10.2016'!#REF!,'на 01.10.2016'!#REF!,'на 01.10.2016'!#REF!</definedName>
    <definedName name="Z_2F3BAFC5_8792_4BC0_833F_5CB9ACB14A14_.wvu.FilterData" localSheetId="0" hidden="1">'на 01.10.2016'!$A$7:$K$143</definedName>
    <definedName name="Z_2F7AC811_CA37_46E3_866E_6E10DF43054A_.wvu.FilterData" localSheetId="0" hidden="1">'на 01.10.2016'!$A$7:$P$401</definedName>
    <definedName name="Z_300D3722_BC5B_4EFC_A306_CB3461E96075_.wvu.FilterData" localSheetId="0" hidden="1">'на 01.10.2016'!$A$7:$P$401</definedName>
    <definedName name="Z_30F94082_E7C8_4DE7_AE26_19B3A4317363_.wvu.FilterData" localSheetId="0" hidden="1">'на 01.10.2016'!$A$7:$P$401</definedName>
    <definedName name="Z_315B3829_E75D_48BB_A407_88A96C0D6A4B_.wvu.FilterData" localSheetId="0" hidden="1">'на 01.10.2016'!$A$7:$P$401</definedName>
    <definedName name="Z_31985263_3556_4B71_A26F_62706F49B320_.wvu.FilterData" localSheetId="0" hidden="1">'на 01.10.2016'!$A$7:$K$143</definedName>
    <definedName name="Z_31EABA3C_DD8D_46BF_85B1_09527EF8E816_.wvu.FilterData" localSheetId="0" hidden="1">'на 01.10.2016'!$A$7:$K$143</definedName>
    <definedName name="Z_328B1FBD_B9E0_4F8C_AA1F_438ED0F19823_.wvu.FilterData" localSheetId="0" hidden="1">'на 01.10.2016'!$A$7:$P$401</definedName>
    <definedName name="Z_33081AFE_875F_4448_8DBB_C2288E582829_.wvu.FilterData" localSheetId="0" hidden="1">'на 01.10.2016'!$A$7:$P$401</definedName>
    <definedName name="Z_34587A22_A707_48EC_A6D8_8CA0D443CB5A_.wvu.FilterData" localSheetId="0" hidden="1">'на 01.10.2016'!$A$7:$P$401</definedName>
    <definedName name="Z_34E97F8E_B808_4C29_AFA8_24160BA8B576_.wvu.FilterData" localSheetId="0" hidden="1">'на 01.10.2016'!$A$7:$K$143</definedName>
    <definedName name="Z_3597F15D_13FB_47E4_B2D7_0713796F1B32_.wvu.FilterData" localSheetId="0" hidden="1">'на 01.10.2016'!$A$7:$K$143</definedName>
    <definedName name="Z_36279478_DEDD_46A7_8B6D_9500CB65A35C_.wvu.FilterData" localSheetId="0" hidden="1">'на 01.10.2016'!$A$7:$K$143</definedName>
    <definedName name="Z_36282042_958F_4D98_9515_9E9271F26AA2_.wvu.FilterData" localSheetId="0" hidden="1">'на 01.10.2016'!$A$7:$K$143</definedName>
    <definedName name="Z_36AEB3FF_FCBC_4E21_8EFE_F20781816ED3_.wvu.FilterData" localSheetId="0" hidden="1">'на 01.10.2016'!$A$7:$K$143</definedName>
    <definedName name="Z_371CA4AD_891B_4B1D_9403_45AB26546607_.wvu.FilterData" localSheetId="0" hidden="1">'на 01.10.2016'!$A$7:$P$401</definedName>
    <definedName name="Z_37F8CE32_8CE8_4D95_9C0E_63112E6EFFE9_.wvu.Cols" localSheetId="0" hidden="1">'на 01.10.2016'!#REF!</definedName>
    <definedName name="Z_37F8CE32_8CE8_4D95_9C0E_63112E6EFFE9_.wvu.FilterData" localSheetId="0" hidden="1">'на 01.10.2016'!$A$7:$K$143</definedName>
    <definedName name="Z_37F8CE32_8CE8_4D95_9C0E_63112E6EFFE9_.wvu.PrintArea" localSheetId="0" hidden="1">'на 01.10.2016'!$A$1:$P$143</definedName>
    <definedName name="Z_37F8CE32_8CE8_4D95_9C0E_63112E6EFFE9_.wvu.PrintTitles" localSheetId="0" hidden="1">'на 01.10.2016'!$5:$8</definedName>
    <definedName name="Z_37F8CE32_8CE8_4D95_9C0E_63112E6EFFE9_.wvu.Rows" localSheetId="0" hidden="1">'на 01.10.2016'!#REF!,'на 01.10.2016'!#REF!,'на 01.10.2016'!#REF!,'на 01.10.2016'!#REF!,'на 01.10.2016'!#REF!,'на 01.10.2016'!#REF!,'на 01.10.2016'!#REF!,'на 01.10.2016'!#REF!,'на 01.10.2016'!#REF!,'на 01.10.2016'!#REF!,'на 01.10.2016'!#REF!,'на 01.10.2016'!#REF!,'на 01.10.2016'!#REF!,'на 01.10.2016'!#REF!,'на 01.10.2016'!#REF!,'на 01.10.2016'!#REF!,'на 01.10.2016'!#REF!</definedName>
    <definedName name="Z_39897EE2_53F6_432A_9A7F_7DBB2FBB08E4_.wvu.FilterData" localSheetId="0" hidden="1">'на 01.10.2016'!$A$7:$P$401</definedName>
    <definedName name="Z_3A3DB971_386F_40FA_8DD4_4A74AFE3B4C9_.wvu.FilterData" localSheetId="0" hidden="1">'на 01.10.2016'!$A$7:$P$401</definedName>
    <definedName name="Z_3AAEA08B_779A_471D_BFA0_0D98BF9A4FAD_.wvu.FilterData" localSheetId="0" hidden="1">'на 01.10.2016'!$A$7:$K$143</definedName>
    <definedName name="Z_3C9F72CF_10C2_48CF_BBB6_A2B9A1393F37_.wvu.FilterData" localSheetId="0" hidden="1">'на 01.10.2016'!$A$7:$K$143</definedName>
    <definedName name="Z_3CBCA6B7_5D7C_44A4_844A_26E2A61FDE86_.wvu.FilterData" localSheetId="0" hidden="1">'на 01.10.2016'!$A$7:$P$401</definedName>
    <definedName name="Z_3D1280C8_646B_4BB2_862F_8A8207220C6A_.wvu.FilterData" localSheetId="0" hidden="1">'на 01.10.2016'!$A$7:$K$143</definedName>
    <definedName name="Z_3D5A28D4_CB7B_405C_9FFF_EB22C14AB77F_.wvu.FilterData" localSheetId="0" hidden="1">'на 01.10.2016'!$A$7:$P$401</definedName>
    <definedName name="Z_3DB4F6FC_CE58_4083_A6ED_88DCB901BB99_.wvu.FilterData" localSheetId="0" hidden="1">'на 01.10.2016'!$A$7:$K$143</definedName>
    <definedName name="Z_3E14FD86_95B1_4D0E_A8F6_A4FFDE0E3FF0_.wvu.FilterData" localSheetId="0" hidden="1">'на 01.10.2016'!$A$7:$P$401</definedName>
    <definedName name="Z_3F839701_87D5_496C_AD9C_2B5AE5742513_.wvu.FilterData" localSheetId="0" hidden="1">'на 01.10.2016'!$A$7:$P$401</definedName>
    <definedName name="Z_3FE8ACF3_2097_4BA9_8230_2DBD30F09632_.wvu.FilterData" localSheetId="0" hidden="1">'на 01.10.2016'!$A$7:$P$401</definedName>
    <definedName name="Z_3FEDCFF8_5450_469D_9A9E_38AB8819A083_.wvu.FilterData" localSheetId="0" hidden="1">'на 01.10.2016'!$A$7:$P$401</definedName>
    <definedName name="Z_402DFE3F_A5E1_41E8_BB4F_E3062FAE22D8_.wvu.FilterData" localSheetId="0" hidden="1">'на 01.10.2016'!$A$7:$P$401</definedName>
    <definedName name="Z_403313B7_B74E_4D03_8AB9_B2A52A5BA330_.wvu.FilterData" localSheetId="0" hidden="1">'на 01.10.2016'!$A$7:$K$143</definedName>
    <definedName name="Z_4055661A_C391_44E3_B71B_DF824D593415_.wvu.FilterData" localSheetId="0" hidden="1">'на 01.10.2016'!$A$7:$K$143</definedName>
    <definedName name="Z_415B8653_FE9C_472E_85AE_9CFA9B00FD5E_.wvu.FilterData" localSheetId="0" hidden="1">'на 01.10.2016'!$A$7:$K$143</definedName>
    <definedName name="Z_41C6EAF5_F389_4A73_A5DF_3E2ABACB9DC1_.wvu.FilterData" localSheetId="0" hidden="1">'на 01.10.2016'!$A$7:$P$401</definedName>
    <definedName name="Z_4388DD05_A74C_4C1C_A344_6EEDB2F4B1B0_.wvu.FilterData" localSheetId="0" hidden="1">'на 01.10.2016'!$A$7:$K$143</definedName>
    <definedName name="Z_445590C0_7350_4A17_AB85_F8DCF9494ECC_.wvu.FilterData" localSheetId="0" hidden="1">'на 01.10.2016'!$A$7:$K$143</definedName>
    <definedName name="Z_45D27932_FD3D_46DE_B431_4E5606457D7F_.wvu.FilterData" localSheetId="0" hidden="1">'на 01.10.2016'!$A$7:$K$143</definedName>
    <definedName name="Z_45DE1976_7F07_4EB4_8A9C_FB72D060BEFA_.wvu.Cols" localSheetId="0" hidden="1">'на 01.10.2016'!$C:$E,'на 01.10.2016'!$M:$N</definedName>
    <definedName name="Z_45DE1976_7F07_4EB4_8A9C_FB72D060BEFA_.wvu.FilterData" localSheetId="0" hidden="1">'на 01.10.2016'!$A$7:$P$401</definedName>
    <definedName name="Z_45DE1976_7F07_4EB4_8A9C_FB72D060BEFA_.wvu.PrintArea" localSheetId="0" hidden="1">'на 01.10.2016'!$A$1:$P$194</definedName>
    <definedName name="Z_45DE1976_7F07_4EB4_8A9C_FB72D060BEFA_.wvu.PrintTitles" localSheetId="0" hidden="1">'на 01.10.2016'!$5:$8</definedName>
    <definedName name="Z_47DE35B6_B347_4C65_8E49_C2008CA773EB_.wvu.FilterData" localSheetId="0" hidden="1">'на 01.10.2016'!$A$7:$K$143</definedName>
    <definedName name="Z_486156AC_4370_4C02_BA8A_CB9B49D1A8EC_.wvu.FilterData" localSheetId="0" hidden="1">'на 01.10.2016'!$A$7:$P$401</definedName>
    <definedName name="Z_49C7329D_3247_4713_BC9A_64F0EE2B0B3C_.wvu.FilterData" localSheetId="0" hidden="1">'на 01.10.2016'!$A$7:$P$401</definedName>
    <definedName name="Z_4AF0FF7E_D940_4246_AB71_AC8FEDA2EF24_.wvu.FilterData" localSheetId="0" hidden="1">'на 01.10.2016'!$A$7:$P$401</definedName>
    <definedName name="Z_4BB7905C_0E11_42F1_848D_90186131796A_.wvu.FilterData" localSheetId="0" hidden="1">'на 01.10.2016'!$A$7:$K$143</definedName>
    <definedName name="Z_4C1FE39D_945F_4F14_94DF_F69B283DCD9F_.wvu.FilterData" localSheetId="0" hidden="1">'на 01.10.2016'!$A$7:$K$143</definedName>
    <definedName name="Z_4CEB490B_58FB_4CA0_AAF2_63178FECD849_.wvu.FilterData" localSheetId="0" hidden="1">'на 01.10.2016'!$A$7:$P$401</definedName>
    <definedName name="Z_4EB9A2EB_6EC6_4AFE_AFFA_537868B4F130_.wvu.FilterData" localSheetId="0" hidden="1">'на 01.10.2016'!$A$7:$P$401</definedName>
    <definedName name="Z_4EF3C623_C372_46C1_AA60_4AC85C37C9F2_.wvu.FilterData" localSheetId="0" hidden="1">'на 01.10.2016'!$A$7:$P$401</definedName>
    <definedName name="Z_4FA4A69A_6589_44A8_8710_9041295BCBA3_.wvu.FilterData" localSheetId="0" hidden="1">'на 01.10.2016'!$A$7:$P$401</definedName>
    <definedName name="Z_5039ACE2_215B_49F3_AC23_F5E171EB2E04_.wvu.FilterData" localSheetId="0" hidden="1">'на 01.10.2016'!$A$7:$P$401</definedName>
    <definedName name="Z_52C40832_4D48_45A4_B802_95C62DCB5A61_.wvu.FilterData" localSheetId="0" hidden="1">'на 01.10.2016'!$A$7:$K$143</definedName>
    <definedName name="Z_539CB3DF_9B66_4BE7_9074_8CE0405EB8A6_.wvu.Cols" localSheetId="0" hidden="1">'на 01.10.2016'!$C:$E,'на 01.10.2016'!$M:$N</definedName>
    <definedName name="Z_539CB3DF_9B66_4BE7_9074_8CE0405EB8A6_.wvu.FilterData" localSheetId="0" hidden="1">'на 01.10.2016'!$A$7:$P$401</definedName>
    <definedName name="Z_539CB3DF_9B66_4BE7_9074_8CE0405EB8A6_.wvu.PrintArea" localSheetId="0" hidden="1">'на 01.10.2016'!$A$1:$P$194</definedName>
    <definedName name="Z_539CB3DF_9B66_4BE7_9074_8CE0405EB8A6_.wvu.PrintTitles" localSheetId="0" hidden="1">'на 01.10.2016'!$5:$8</definedName>
    <definedName name="Z_55266A36_B6A9_42E1_8467_17D14F12BABD_.wvu.FilterData" localSheetId="0" hidden="1">'на 01.10.2016'!$A$7:$K$143</definedName>
    <definedName name="Z_55F24CBB_212F_42F4_BB98_92561BDA95C3_.wvu.FilterData" localSheetId="0" hidden="1">'на 01.10.2016'!$A$7:$P$401</definedName>
    <definedName name="Z_565A1A16_6A4F_4794_B3C1_1808DC7E86C0_.wvu.FilterData" localSheetId="0" hidden="1">'на 01.10.2016'!$A$7:$K$143</definedName>
    <definedName name="Z_568C3823_FEE7_49C8_B4CF_3D48541DA65C_.wvu.FilterData" localSheetId="0" hidden="1">'на 01.10.2016'!$A$7:$K$143</definedName>
    <definedName name="Z_5696C387_34DF_4BED_BB60_2D85436D9DA8_.wvu.FilterData" localSheetId="0" hidden="1">'на 01.10.2016'!$A$7:$P$401</definedName>
    <definedName name="Z_56C18D87_C587_43F7_9147_D7827AADF66D_.wvu.FilterData" localSheetId="0" hidden="1">'на 01.10.2016'!$A$7:$K$143</definedName>
    <definedName name="Z_5729DC83_8713_4B21_9D2C_8A74D021747E_.wvu.FilterData" localSheetId="0" hidden="1">'на 01.10.2016'!$A$7:$K$143</definedName>
    <definedName name="Z_5730431A_42FA_4886_8F76_DA9C1179F65B_.wvu.FilterData" localSheetId="0" hidden="1">'на 01.10.2016'!$A$7:$P$401</definedName>
    <definedName name="Z_58270B81_2C5A_44D4_84D8_B29B6BA03243_.wvu.FilterData" localSheetId="0" hidden="1">'на 01.10.2016'!$A$7:$K$143</definedName>
    <definedName name="Z_58EAD7A7_C312_4E53_9D90_6DB268F00AAE_.wvu.FilterData" localSheetId="0" hidden="1">'на 01.10.2016'!$A$7:$P$401</definedName>
    <definedName name="Z_59074C03_1A19_4344_8FE1_916D5A98CD29_.wvu.FilterData" localSheetId="0" hidden="1">'на 01.10.2016'!$A$7:$P$401</definedName>
    <definedName name="Z_59F91900_CAE9_4608_97BE_FBC0993C389F_.wvu.FilterData" localSheetId="0" hidden="1">'на 01.10.2016'!$A$7:$K$143</definedName>
    <definedName name="Z_5AC843E8_BE7D_4B69_82E5_622B40389D76_.wvu.FilterData" localSheetId="0" hidden="1">'на 01.10.2016'!$A$7:$P$401</definedName>
    <definedName name="Z_5B201F9D_0EC3_499C_A33C_1C4C3BFDAC63_.wvu.FilterData" localSheetId="0" hidden="1">'на 01.10.2016'!$A$7:$P$401</definedName>
    <definedName name="Z_5B8F35C7_BACE_46B7_A289_D37993E37EE6_.wvu.FilterData" localSheetId="0" hidden="1">'на 01.10.2016'!$A$7:$P$401</definedName>
    <definedName name="Z_5C13A1A0_C535_4639_90BE_9B5D72B8AEDB_.wvu.FilterData" localSheetId="0" hidden="1">'на 01.10.2016'!$A$7:$K$143</definedName>
    <definedName name="Z_5C519772_2A20_4B5B_841B_37C4DE3DF25F_.wvu.FilterData" localSheetId="0" hidden="1">'на 01.10.2016'!$A$7:$P$401</definedName>
    <definedName name="Z_5CDE7466_9008_4EE8_8F19_E26D937B15F6_.wvu.FilterData" localSheetId="0" hidden="1">'на 01.10.2016'!$A$7:$K$143</definedName>
    <definedName name="Z_5EB104F4_627D_44E7_960F_6C67063C7D09_.wvu.FilterData" localSheetId="0" hidden="1">'на 01.10.2016'!$A$7:$P$401</definedName>
    <definedName name="Z_5FB953A5_71FF_4056_AF98_C9D06FF0EDF3_.wvu.Cols" localSheetId="0" hidden="1">'на 01.10.2016'!$C:$E,'на 01.10.2016'!$M:$N</definedName>
    <definedName name="Z_5FB953A5_71FF_4056_AF98_C9D06FF0EDF3_.wvu.FilterData" localSheetId="0" hidden="1">'на 01.10.2016'!$A$7:$P$401</definedName>
    <definedName name="Z_5FB953A5_71FF_4056_AF98_C9D06FF0EDF3_.wvu.PrintArea" localSheetId="0" hidden="1">'на 01.10.2016'!$A$1:$P$194</definedName>
    <definedName name="Z_5FB953A5_71FF_4056_AF98_C9D06FF0EDF3_.wvu.PrintTitles" localSheetId="0" hidden="1">'на 01.10.2016'!$5:$8</definedName>
    <definedName name="Z_60155C64_695E_458C_BBFE_B89C53118803_.wvu.FilterData" localSheetId="0" hidden="1">'на 01.10.2016'!$A$7:$P$401</definedName>
    <definedName name="Z_60657231_C99E_4191_A90E_C546FB588843_.wvu.FilterData" localSheetId="0" hidden="1">'на 01.10.2016'!$A$7:$K$143</definedName>
    <definedName name="Z_60B33E92_3815_4061_91AA_8E38B8895054_.wvu.FilterData" localSheetId="0" hidden="1">'на 01.10.2016'!$A$7:$K$143</definedName>
    <definedName name="Z_61D3C2BE_E5C3_4670_8A8C_5EA015D7BE13_.wvu.FilterData" localSheetId="0" hidden="1">'на 01.10.2016'!$A$7:$P$401</definedName>
    <definedName name="Z_6246324E_D224_4FAC_8C67_F9370E7D77EB_.wvu.FilterData" localSheetId="0" hidden="1">'на 01.10.2016'!$A$7:$P$401</definedName>
    <definedName name="Z_62534477_13C5_437C_87A9_3525FC60CE4D_.wvu.FilterData" localSheetId="0" hidden="1">'на 01.10.2016'!$A$7:$P$401</definedName>
    <definedName name="Z_62691467_BD46_47AE_A6DF_52CBD0D9817B_.wvu.FilterData" localSheetId="0" hidden="1">'на 01.10.2016'!$A$7:$K$143</definedName>
    <definedName name="Z_62C4D5B7_88F6_4885_99F7_CBFA0AACC2D9_.wvu.FilterData" localSheetId="0" hidden="1">'на 01.10.2016'!$A$7:$P$401</definedName>
    <definedName name="Z_62F2B5AA_C3D1_4669_A4A0_184285923B8F_.wvu.FilterData" localSheetId="0" hidden="1">'на 01.10.2016'!$A$7:$P$401</definedName>
    <definedName name="Z_63720CAA_47FE_4977_B082_29E1534276C7_.wvu.FilterData" localSheetId="0" hidden="1">'на 01.10.2016'!$A$7:$P$401</definedName>
    <definedName name="Z_638AAAE8_8FF2_44D0_A160_BB2A9AEB5B72_.wvu.FilterData" localSheetId="0" hidden="1">'на 01.10.2016'!$A$7:$K$143</definedName>
    <definedName name="Z_63D45DC6_0D62_438A_9069_0A4378090381_.wvu.FilterData" localSheetId="0" hidden="1">'на 01.10.2016'!$A$7:$K$143</definedName>
    <definedName name="Z_648AB040_BD0E_49A1_BA40_87D3D9C0BA55_.wvu.FilterData" localSheetId="0" hidden="1">'на 01.10.2016'!$A$7:$P$401</definedName>
    <definedName name="Z_649E5CE3_4976_49D9_83DA_4E57FFC714BF_.wvu.Cols" localSheetId="0" hidden="1">'на 01.10.2016'!$C:$E,'на 01.10.2016'!$M:$N</definedName>
    <definedName name="Z_649E5CE3_4976_49D9_83DA_4E57FFC714BF_.wvu.FilterData" localSheetId="0" hidden="1">'на 01.10.2016'!$A$7:$P$401</definedName>
    <definedName name="Z_649E5CE3_4976_49D9_83DA_4E57FFC714BF_.wvu.PrintArea" localSheetId="0" hidden="1">'на 01.10.2016'!$A$1:$P$200</definedName>
    <definedName name="Z_649E5CE3_4976_49D9_83DA_4E57FFC714BF_.wvu.PrintTitles" localSheetId="0" hidden="1">'на 01.10.2016'!$5:$8</definedName>
    <definedName name="Z_64C01F03_E840_4B6E_960F_5E13E0981676_.wvu.FilterData" localSheetId="0" hidden="1">'на 01.10.2016'!$A$7:$P$401</definedName>
    <definedName name="Z_6654CD2E_14AE_4299_8801_306919BA9D32_.wvu.FilterData" localSheetId="0" hidden="1">'на 01.10.2016'!$A$7:$P$401</definedName>
    <definedName name="Z_66550ABE_0FE4_4071_B1FA_6163FA599414_.wvu.FilterData" localSheetId="0" hidden="1">'на 01.10.2016'!$A$7:$P$401</definedName>
    <definedName name="Z_6656F77C_55F8_4E1C_A222_2E884838D2F2_.wvu.FilterData" localSheetId="0" hidden="1">'на 01.10.2016'!$A$7:$P$401</definedName>
    <definedName name="Z_67ADFAE6_A9AF_44D7_8539_93CD0F6B7849_.wvu.Cols" localSheetId="0" hidden="1">'на 01.10.2016'!$C:$E,'на 01.10.2016'!$M:$N</definedName>
    <definedName name="Z_67ADFAE6_A9AF_44D7_8539_93CD0F6B7849_.wvu.FilterData" localSheetId="0" hidden="1">'на 01.10.2016'!$A$7:$P$401</definedName>
    <definedName name="Z_67ADFAE6_A9AF_44D7_8539_93CD0F6B7849_.wvu.PrintArea" localSheetId="0" hidden="1">'на 01.10.2016'!$A$1:$P$203</definedName>
    <definedName name="Z_67ADFAE6_A9AF_44D7_8539_93CD0F6B7849_.wvu.PrintTitles" localSheetId="0" hidden="1">'на 01.10.2016'!$5:$8</definedName>
    <definedName name="Z_69321B6F_CF2A_4DAB_82CF_8CAAD629F257_.wvu.FilterData" localSheetId="0" hidden="1">'на 01.10.2016'!$A$7:$P$401</definedName>
    <definedName name="Z_6BE4E62B_4F97_4F96_9638_8ADCE8F932B1_.wvu.FilterData" localSheetId="0" hidden="1">'на 01.10.2016'!$A$7:$K$143</definedName>
    <definedName name="Z_6BE735CC_AF2E_4F67_B22D_A8AB001D3353_.wvu.FilterData" localSheetId="0" hidden="1">'на 01.10.2016'!$A$7:$K$143</definedName>
    <definedName name="Z_6CF84B0C_144A_4CF4_A34E_B9147B738037_.wvu.FilterData" localSheetId="0" hidden="1">'на 01.10.2016'!$A$7:$K$143</definedName>
    <definedName name="Z_6D091BF8_3118_4C66_BFCF_A396B92963B0_.wvu.FilterData" localSheetId="0" hidden="1">'на 01.10.2016'!$A$7:$P$401</definedName>
    <definedName name="Z_6D692D1F_2186_4B62_878B_AABF13F25116_.wvu.FilterData" localSheetId="0" hidden="1">'на 01.10.2016'!$A$7:$P$401</definedName>
    <definedName name="Z_6E1926CF_4906_4A55_811C_617ED8BB98BA_.wvu.FilterData" localSheetId="0" hidden="1">'на 01.10.2016'!$A$7:$P$401</definedName>
    <definedName name="Z_6E2D6686_B9FD_4BBA_8CD4_95C6386F5509_.wvu.FilterData" localSheetId="0" hidden="1">'на 01.10.2016'!$A$7:$K$143</definedName>
    <definedName name="Z_6ECBF068_1C02_4E6C_B4E6_EB2B6EC464BD_.wvu.FilterData" localSheetId="0" hidden="1">'на 01.10.2016'!$A$7:$P$401</definedName>
    <definedName name="Z_6F1223ED_6D7E_4BDC_97BD_57C6B16DF50B_.wvu.FilterData" localSheetId="0" hidden="1">'на 01.10.2016'!$A$7:$P$401</definedName>
    <definedName name="Z_6F60BF81_D1A9_4E04_93E7_3EE7124B8D23_.wvu.FilterData" localSheetId="0" hidden="1">'на 01.10.2016'!$A$7:$K$143</definedName>
    <definedName name="Z_701E5EC3_E633_4389_A70E_4DD82E713CE4_.wvu.FilterData" localSheetId="0" hidden="1">'на 01.10.2016'!$A$7:$P$401</definedName>
    <definedName name="Z_70567FCD_AD22_4F19_9380_E5332B152F74_.wvu.FilterData" localSheetId="0" hidden="1">'на 01.10.2016'!$A$7:$P$401</definedName>
    <definedName name="Z_706D67E7_3361_40B2_829D_8844AB8060E2_.wvu.FilterData" localSheetId="0" hidden="1">'на 01.10.2016'!$A$7:$K$143</definedName>
    <definedName name="Z_7246383F_5A7C_4469_ABE5_F3DE99D7B98C_.wvu.FilterData" localSheetId="0" hidden="1">'на 01.10.2016'!$A$7:$K$143</definedName>
    <definedName name="Z_72971C39_5C91_4008_BD77_2DC24FDFDCB6_.wvu.FilterData" localSheetId="0" hidden="1">'на 01.10.2016'!$A$7:$P$401</definedName>
    <definedName name="Z_72BCCF18_7B1D_4731_977C_FF5C187A4C82_.wvu.FilterData" localSheetId="0" hidden="1">'на 01.10.2016'!$A$7:$P$401</definedName>
    <definedName name="Z_742C8CE1_B323_4B6C_901C_E2B713ADDB04_.wvu.FilterData" localSheetId="0" hidden="1">'на 01.10.2016'!$A$7:$K$143</definedName>
    <definedName name="Z_762066AC_D656_4392_845D_8C6157B76764_.wvu.FilterData" localSheetId="0" hidden="1">'на 01.10.2016'!$A$7:$K$143</definedName>
    <definedName name="Z_77081AB2_288F_4D22_9FAD_2429DAF1E510_.wvu.FilterData" localSheetId="0" hidden="1">'на 01.10.2016'!$A$7:$P$401</definedName>
    <definedName name="Z_799DB00F_141C_483B_A462_359C05A36D93_.wvu.FilterData" localSheetId="0" hidden="1">'на 01.10.2016'!$A$7:$K$143</definedName>
    <definedName name="Z_79E4D554_5B2C_41A7_B934_B430838AA03E_.wvu.FilterData" localSheetId="0" hidden="1">'на 01.10.2016'!$A$7:$P$401</definedName>
    <definedName name="Z_7A01CF94_90AE_4821_93EE_D3FE8D12D8D5_.wvu.FilterData" localSheetId="0" hidden="1">'на 01.10.2016'!$A$7:$P$401</definedName>
    <definedName name="Z_7A09065A_45D5_4C53_B9DD_121DF6719D64_.wvu.FilterData" localSheetId="0" hidden="1">'на 01.10.2016'!$A$7:$K$143</definedName>
    <definedName name="Z_7AE14342_BF53_4FA2_8C85_1038D8BA9596_.wvu.FilterData" localSheetId="0" hidden="1">'на 01.10.2016'!$A$7:$K$143</definedName>
    <definedName name="Z_7B245AB0_C2AF_4822_BFC4_2399F85856C1_.wvu.Cols" localSheetId="0" hidden="1">'на 01.10.2016'!$C:$E,'на 01.10.2016'!$M:$N</definedName>
    <definedName name="Z_7B245AB0_C2AF_4822_BFC4_2399F85856C1_.wvu.FilterData" localSheetId="0" hidden="1">'на 01.10.2016'!$A$7:$P$401</definedName>
    <definedName name="Z_7B245AB0_C2AF_4822_BFC4_2399F85856C1_.wvu.PrintArea" localSheetId="0" hidden="1">'на 01.10.2016'!$A$1:$P$194</definedName>
    <definedName name="Z_7B245AB0_C2AF_4822_BFC4_2399F85856C1_.wvu.PrintTitles" localSheetId="0" hidden="1">'на 01.10.2016'!$5:$8</definedName>
    <definedName name="Z_7BA445E6_50A0_4F67_81F2_B2945A5BFD3F_.wvu.FilterData" localSheetId="0" hidden="1">'на 01.10.2016'!$A$7:$P$401</definedName>
    <definedName name="Z_7BC27702_AD83_4B6E_860E_D694439F877D_.wvu.FilterData" localSheetId="0" hidden="1">'на 01.10.2016'!$A$7:$K$143</definedName>
    <definedName name="Z_7CB2D520_A8A5_4D6C_BE39_64C505DBAE2C_.wvu.FilterData" localSheetId="0" hidden="1">'на 01.10.2016'!$A$7:$P$401</definedName>
    <definedName name="Z_7DB24378_D193_4D04_9739_831C8625EEAE_.wvu.FilterData" localSheetId="0" hidden="1">'на 01.10.2016'!$A$7:$P$61</definedName>
    <definedName name="Z_7E77AE50_A8E9_48E1_BD6F_0651484E1DB4_.wvu.FilterData" localSheetId="0" hidden="1">'на 01.10.2016'!$A$7:$P$401</definedName>
    <definedName name="Z_81403331_C5EB_4760_B273_D3D9C8D43951_.wvu.FilterData" localSheetId="0" hidden="1">'на 01.10.2016'!$A$7:$K$143</definedName>
    <definedName name="Z_81BE03B7_DE2F_4E82_8496_CAF917D1CC3F_.wvu.FilterData" localSheetId="0" hidden="1">'на 01.10.2016'!$A$7:$P$401</definedName>
    <definedName name="Z_8220CA38_66F1_4F9F_A7AE_CF3DF89B0B66_.wvu.FilterData" localSheetId="0" hidden="1">'на 01.10.2016'!$A$7:$P$401</definedName>
    <definedName name="Z_8280D1E0_5055_49CD_A383_D6B2F2EBD512_.wvu.FilterData" localSheetId="0" hidden="1">'на 01.10.2016'!$A$7:$K$143</definedName>
    <definedName name="Z_840133FA_9546_4ED0_AA3E_E87F8F80931F_.wvu.FilterData" localSheetId="0" hidden="1">'на 01.10.2016'!$A$7:$P$401</definedName>
    <definedName name="Z_8462E4B7_FF49_4401_9CB1_027D70C3D86B_.wvu.FilterData" localSheetId="0" hidden="1">'на 01.10.2016'!$A$7:$K$143</definedName>
    <definedName name="Z_8518EF96_21CF_4CEA_B17C_8AA8E48B82CF_.wvu.FilterData" localSheetId="0" hidden="1">'на 01.10.2016'!$A$7:$P$401</definedName>
    <definedName name="Z_8649CC96_F63A_4F83_8C89_AA8F47AC05F3_.wvu.FilterData" localSheetId="0" hidden="1">'на 01.10.2016'!$A$7:$K$143</definedName>
    <definedName name="Z_8789C1A0_51C5_46EF_B1F1_B319BE008AC1_.wvu.FilterData" localSheetId="0" hidden="1">'на 01.10.2016'!$A$7:$P$401</definedName>
    <definedName name="Z_87AE545F_036F_4E8B_9D04_AE59AB8BAC14_.wvu.FilterData" localSheetId="0" hidden="1">'на 01.10.2016'!$A$7:$K$143</definedName>
    <definedName name="Z_87D86486_B5EF_4463_9350_9D1E042A42DF_.wvu.FilterData" localSheetId="0" hidden="1">'на 01.10.2016'!$A$7:$P$401</definedName>
    <definedName name="Z_8878B53B_0E8A_4A11_8A26_C2AC9BB8A4A9_.wvu.FilterData" localSheetId="0" hidden="1">'на 01.10.2016'!$A$7:$K$143</definedName>
    <definedName name="Z_888B8943_9277_42CB_A862_699801009D7B_.wvu.FilterData" localSheetId="0" hidden="1">'на 01.10.2016'!$A$7:$P$401</definedName>
    <definedName name="Z_8C04CD6E_A1CC_4EF8_8DD5_B859F52073A0_.wvu.FilterData" localSheetId="0" hidden="1">'на 01.10.2016'!$A$7:$P$401</definedName>
    <definedName name="Z_8C654415_86D2_479D_A511_8A4B3774E375_.wvu.FilterData" localSheetId="0" hidden="1">'на 01.10.2016'!$A$7:$K$143</definedName>
    <definedName name="Z_8CAD663B_CD5E_4846_B4FD_69BCB6D1EB12_.wvu.FilterData" localSheetId="0" hidden="1">'на 01.10.2016'!$A$7:$K$143</definedName>
    <definedName name="Z_8CB267BE_E783_4914_8FFF_50D79F1D75CF_.wvu.FilterData" localSheetId="0" hidden="1">'на 01.10.2016'!$A$7:$K$143</definedName>
    <definedName name="Z_8D0153EB_A3EC_4213_A12B_74D6D827770F_.wvu.FilterData" localSheetId="0" hidden="1">'на 01.10.2016'!$A$7:$P$401</definedName>
    <definedName name="Z_8D7BE686_9FAF_4C26_8FD5_5395E55E0797_.wvu.FilterData" localSheetId="0" hidden="1">'на 01.10.2016'!$A$7:$K$143</definedName>
    <definedName name="Z_8D8D2F4C_3B7E_4C1F_A367_4BA418733E1A_.wvu.FilterData" localSheetId="0" hidden="1">'на 01.10.2016'!$A$7:$K$143</definedName>
    <definedName name="Z_8E62A2BE_7CE7_496E_AC79_F133ABDC98BF_.wvu.FilterData" localSheetId="0" hidden="1">'на 01.10.2016'!$A$7:$K$143</definedName>
    <definedName name="Z_8EEB3EFB_2D0D_474D_A904_853356F13984_.wvu.FilterData" localSheetId="0" hidden="1">'на 01.10.2016'!$A$7:$P$401</definedName>
    <definedName name="Z_9089CAE7_C9D5_4B44_BF40_622C1D4BEC1A_.wvu.FilterData" localSheetId="0" hidden="1">'на 01.10.2016'!$A$7:$P$401</definedName>
    <definedName name="Z_90B62036_E8E2_47F2_BA67_9490969E5E89_.wvu.FilterData" localSheetId="0" hidden="1">'на 01.10.2016'!$A$7:$P$401</definedName>
    <definedName name="Z_91A44DD7_EFA1_45BC_BF8A_C6EBAED142C3_.wvu.FilterData" localSheetId="0" hidden="1">'на 01.10.2016'!$A$7:$P$401</definedName>
    <definedName name="Z_92A69ACC_08E1_4049_9A4E_909BE09E8D3F_.wvu.FilterData" localSheetId="0" hidden="1">'на 01.10.2016'!$A$7:$P$401</definedName>
    <definedName name="Z_92A7494D_B642_4D2E_8A98_FA3ADD190BCE_.wvu.FilterData" localSheetId="0" hidden="1">'на 01.10.2016'!$A$7:$P$401</definedName>
    <definedName name="Z_92A89EF4_8A4E_4790_B0CC_01892B6039EB_.wvu.FilterData" localSheetId="0" hidden="1">'на 01.10.2016'!$A$7:$P$401</definedName>
    <definedName name="Z_92E38377_38CC_496E_BBD8_5394F7550FE3_.wvu.FilterData" localSheetId="0" hidden="1">'на 01.10.2016'!$A$7:$P$401</definedName>
    <definedName name="Z_93030161_EBD2_4C55_BB01_67290B2149A7_.wvu.FilterData" localSheetId="0" hidden="1">'на 01.10.2016'!$A$7:$P$401</definedName>
    <definedName name="Z_935DFEC4_8817_4BB5_A846_9674D5A05EE9_.wvu.FilterData" localSheetId="0" hidden="1">'на 01.10.2016'!$A$7:$K$143</definedName>
    <definedName name="Z_944D1186_FA84_48E6_9A44_19022D55084A_.wvu.FilterData" localSheetId="0" hidden="1">'на 01.10.2016'!$A$7:$P$401</definedName>
    <definedName name="Z_94E3B816_367C_44F4_94FC_13D42F694C13_.wvu.FilterData" localSheetId="0" hidden="1">'на 01.10.2016'!$A$7:$P$401</definedName>
    <definedName name="Z_95B5A563_A81C_425C_AC80_18232E0FA0F2_.wvu.FilterData" localSheetId="0" hidden="1">'на 01.10.2016'!$A$7:$K$143</definedName>
    <definedName name="Z_96167660_EA8B_4F7D_87A1_785E97B459B3_.wvu.FilterData" localSheetId="0" hidden="1">'на 01.10.2016'!$A$7:$K$143</definedName>
    <definedName name="Z_96879477_4713_4ABC_982A_7EB1C07B4DED_.wvu.FilterData" localSheetId="0" hidden="1">'на 01.10.2016'!$A$7:$K$143</definedName>
    <definedName name="Z_969E164A_AA47_4A3D_AECC_F3C5A8BBA40A_.wvu.FilterData" localSheetId="0" hidden="1">'на 01.10.2016'!$A$7:$P$401</definedName>
    <definedName name="Z_97B55429_A18E_43B5_9AF8_FE73FCDE4BBB_.wvu.FilterData" localSheetId="0" hidden="1">'на 01.10.2016'!$A$7:$P$401</definedName>
    <definedName name="Z_97E2C09C_6040_4BDA_B6A0_AF60F993AC48_.wvu.FilterData" localSheetId="0" hidden="1">'на 01.10.2016'!$A$7:$P$401</definedName>
    <definedName name="Z_97F74FDF_2C27_4D85_A3A7_1EF51A8A2DFF_.wvu.FilterData" localSheetId="0" hidden="1">'на 01.10.2016'!$A$7:$K$143</definedName>
    <definedName name="Z_987C1B6D_28A7_49CB_BBF0_6C3FFB9FC1C5_.wvu.FilterData" localSheetId="0" hidden="1">'на 01.10.2016'!$A$7:$P$401</definedName>
    <definedName name="Z_998B8119_4FF3_4A16_838D_539C6AE34D55_.wvu.Cols" localSheetId="0" hidden="1">'на 01.10.2016'!$C:$E,'на 01.10.2016'!$M:$N</definedName>
    <definedName name="Z_998B8119_4FF3_4A16_838D_539C6AE34D55_.wvu.FilterData" localSheetId="0" hidden="1">'на 01.10.2016'!$A$7:$P$401</definedName>
    <definedName name="Z_998B8119_4FF3_4A16_838D_539C6AE34D55_.wvu.PrintArea" localSheetId="0" hidden="1">'на 01.10.2016'!$A$1:$P$194</definedName>
    <definedName name="Z_998B8119_4FF3_4A16_838D_539C6AE34D55_.wvu.PrintTitles" localSheetId="0" hidden="1">'на 01.10.2016'!$5:$8</definedName>
    <definedName name="Z_9A28E7E9_55CD_40D9_9E29_E07B8DD3C238_.wvu.FilterData" localSheetId="0" hidden="1">'на 01.10.2016'!$A$7:$P$401</definedName>
    <definedName name="Z_9A769443_7DFA_43D5_AB26_6F2EEF53DAF1_.wvu.FilterData" localSheetId="0" hidden="1">'на 01.10.2016'!$A$7:$K$143</definedName>
    <definedName name="Z_9C310551_EC8B_4B87_B5AF_39FC532C6FE3_.wvu.FilterData" localSheetId="0" hidden="1">'на 01.10.2016'!$A$7:$K$143</definedName>
    <definedName name="Z_9D24C81C_5B18_4B40_BF88_7236C9CAE366_.wvu.FilterData" localSheetId="0" hidden="1">'на 01.10.2016'!$A$7:$K$143</definedName>
    <definedName name="Z_9E720D93_31F0_4636_BA00_6CE6F83F3651_.wvu.FilterData" localSheetId="0" hidden="1">'на 01.10.2016'!$A$7:$P$401</definedName>
    <definedName name="Z_9E943B7D_D4C7_443F_BC4C_8AB90546D8A5_.wvu.Cols" localSheetId="0" hidden="1">'на 01.10.2016'!#REF!,'на 01.10.2016'!#REF!</definedName>
    <definedName name="Z_9E943B7D_D4C7_443F_BC4C_8AB90546D8A5_.wvu.FilterData" localSheetId="0" hidden="1">'на 01.10.2016'!$A$3:$P$61</definedName>
    <definedName name="Z_9E943B7D_D4C7_443F_BC4C_8AB90546D8A5_.wvu.PrintTitles" localSheetId="0" hidden="1">'на 01.10.2016'!$5:$8</definedName>
    <definedName name="Z_9E943B7D_D4C7_443F_BC4C_8AB90546D8A5_.wvu.Rows" localSheetId="0" hidden="1">'на 01.10.2016'!#REF!,'на 01.10.2016'!#REF!,'на 01.10.2016'!#REF!,'на 01.10.2016'!#REF!,'на 01.10.2016'!#REF!,'на 01.10.2016'!#REF!,'на 01.10.2016'!#REF!,'на 01.10.2016'!#REF!,'на 01.10.2016'!#REF!,'на 01.10.2016'!#REF!,'на 01.10.2016'!#REF!,'на 01.10.2016'!#REF!,'на 01.10.2016'!#REF!,'на 01.10.2016'!#REF!,'на 01.10.2016'!#REF!,'на 01.10.2016'!#REF!,'на 01.10.2016'!#REF!,'на 01.10.2016'!#REF!,'на 01.10.2016'!#REF!,'на 01.10.2016'!#REF!</definedName>
    <definedName name="Z_9EC99D85_9CBB_4D41_A0AC_5A782960B43C_.wvu.FilterData" localSheetId="0" hidden="1">'на 01.10.2016'!$A$7:$K$143</definedName>
    <definedName name="Z_A0A3CD9B_2436_40D7_91DB_589A95FBBF00_.wvu.Cols" localSheetId="0" hidden="1">'на 01.10.2016'!$C:$E,'на 01.10.2016'!$M:$N</definedName>
    <definedName name="Z_A0A3CD9B_2436_40D7_91DB_589A95FBBF00_.wvu.FilterData" localSheetId="0" hidden="1">'на 01.10.2016'!$A$7:$P$401</definedName>
    <definedName name="Z_A0A3CD9B_2436_40D7_91DB_589A95FBBF00_.wvu.PrintArea" localSheetId="0" hidden="1">'на 01.10.2016'!$A$1:$P$203</definedName>
    <definedName name="Z_A0A3CD9B_2436_40D7_91DB_589A95FBBF00_.wvu.PrintTitles" localSheetId="0" hidden="1">'на 01.10.2016'!$5:$8</definedName>
    <definedName name="Z_A0EB0A04_1124_498B_8C4B_C1E25B53C1A8_.wvu.FilterData" localSheetId="0" hidden="1">'на 01.10.2016'!$A$7:$K$143</definedName>
    <definedName name="Z_A113B19A_DB2C_4585_AED7_B7EF9F05E57E_.wvu.FilterData" localSheetId="0" hidden="1">'на 01.10.2016'!$A$7:$P$401</definedName>
    <definedName name="Z_A2611F3A_C06C_4662_B39E_6F08BA7C9B14_.wvu.FilterData" localSheetId="0" hidden="1">'на 01.10.2016'!$A$7:$K$143</definedName>
    <definedName name="Z_A28DA500_33FC_4913_B21A_3E2D7ED7A130_.wvu.FilterData" localSheetId="0" hidden="1">'на 01.10.2016'!$A$7:$K$143</definedName>
    <definedName name="Z_A62258B9_7768_4C4F_AFFC_537782E81CFF_.wvu.FilterData" localSheetId="0" hidden="1">'на 01.10.2016'!$A$7:$K$143</definedName>
    <definedName name="Z_A65D4FF6_26A1_47FE_AF98_41E05002FB1E_.wvu.FilterData" localSheetId="0" hidden="1">'на 01.10.2016'!$A$7:$K$143</definedName>
    <definedName name="Z_A6B98527_7CBF_4E4D_BDEA_9334A3EB779F_.wvu.Cols" localSheetId="0" hidden="1">'на 01.10.2016'!$C:$E,'на 01.10.2016'!$M:$N,'на 01.10.2016'!$Q:$BT</definedName>
    <definedName name="Z_A6B98527_7CBF_4E4D_BDEA_9334A3EB779F_.wvu.FilterData" localSheetId="0" hidden="1">'на 01.10.2016'!$A$7:$P$401</definedName>
    <definedName name="Z_A6B98527_7CBF_4E4D_BDEA_9334A3EB779F_.wvu.PrintArea" localSheetId="0" hidden="1">'на 01.10.2016'!$A$1:$BT$194</definedName>
    <definedName name="Z_A6B98527_7CBF_4E4D_BDEA_9334A3EB779F_.wvu.PrintTitles" localSheetId="0" hidden="1">'на 01.10.2016'!$5:$7</definedName>
    <definedName name="Z_A98C96B5_CE3A_4FF9_B3E5_0DBB66ADC5BB_.wvu.FilterData" localSheetId="0" hidden="1">'на 01.10.2016'!$A$7:$K$143</definedName>
    <definedName name="Z_A9BB2943_E4B1_4809_A926_69F8C50E1CF2_.wvu.FilterData" localSheetId="0" hidden="1">'на 01.10.2016'!$A$7:$P$401</definedName>
    <definedName name="Z_AA4C7BF5_07E0_4095_B165_D2AF600190FA_.wvu.FilterData" localSheetId="0" hidden="1">'на 01.10.2016'!$A$7:$K$143</definedName>
    <definedName name="Z_AAC4B5AB_1913_4D9C_A1FF_BD9345E009EB_.wvu.FilterData" localSheetId="0" hidden="1">'на 01.10.2016'!$A$7:$K$143</definedName>
    <definedName name="Z_ABAF42E6_6CD6_46B1_A0C6_0099C207BC1C_.wvu.FilterData" localSheetId="0" hidden="1">'на 01.10.2016'!$A$7:$P$401</definedName>
    <definedName name="Z_AD079EA2_4E18_46EE_8E20_0C7923C917D2_.wvu.FilterData" localSheetId="0" hidden="1">'на 01.10.2016'!$A$7:$P$401</definedName>
    <definedName name="Z_AF01D870_77CB_46A2_A95B_3A27FF42EAA8_.wvu.FilterData" localSheetId="0" hidden="1">'на 01.10.2016'!$A$7:$K$143</definedName>
    <definedName name="Z_AF1AEFF5_9892_4FCB_BD3E_6CF1CEE1B71B_.wvu.FilterData" localSheetId="0" hidden="1">'на 01.10.2016'!$A$7:$P$401</definedName>
    <definedName name="Z_AFC26506_1EE1_430F_B247_3257CE41958A_.wvu.FilterData" localSheetId="0" hidden="1">'на 01.10.2016'!$A$7:$P$401</definedName>
    <definedName name="Z_B00B4D71_156E_4DD9_93CC_1F392CBA035F_.wvu.FilterData" localSheetId="0" hidden="1">'на 01.10.2016'!$A$7:$P$401</definedName>
    <definedName name="Z_B0B61858_D248_4F0B_95EB_A53482FBF19B_.wvu.FilterData" localSheetId="0" hidden="1">'на 01.10.2016'!$A$7:$P$401</definedName>
    <definedName name="Z_B180D137_9F25_4AD4_9057_37928F1867A8_.wvu.FilterData" localSheetId="0" hidden="1">'на 01.10.2016'!$A$7:$K$143</definedName>
    <definedName name="Z_B246A3A0_6AE0_4610_AE7A_F7490C26DBCA_.wvu.FilterData" localSheetId="0" hidden="1">'на 01.10.2016'!$A$7:$P$401</definedName>
    <definedName name="Z_B2D38EAC_E767_43A7_B7A2_621639FE347D_.wvu.FilterData" localSheetId="0" hidden="1">'на 01.10.2016'!$A$7:$K$143</definedName>
    <definedName name="Z_B3114865_FFF9_40B7_B9E6_C3642102DCF9_.wvu.FilterData" localSheetId="0" hidden="1">'на 01.10.2016'!$A$7:$P$401</definedName>
    <definedName name="Z_B3339176_D3D0_4D7A_8AAB_C0B71F942A93_.wvu.FilterData" localSheetId="0" hidden="1">'на 01.10.2016'!$A$7:$K$143</definedName>
    <definedName name="Z_B45FAC42_679D_43AB_B511_9E5492CAC2DB_.wvu.FilterData" localSheetId="0" hidden="1">'на 01.10.2016'!$A$7:$K$143</definedName>
    <definedName name="Z_B499C08D_A2E7_417F_A9B7_BFCE2B66534F_.wvu.FilterData" localSheetId="0" hidden="1">'на 01.10.2016'!$A$7:$P$401</definedName>
    <definedName name="Z_B5533D56_E1AE_4DE7_8436_EF9CA55A4943_.wvu.FilterData" localSheetId="0" hidden="1">'на 01.10.2016'!$A$7:$P$401</definedName>
    <definedName name="Z_B56BEF44_39DC_4F5B_A5E5_157C237832AF_.wvu.FilterData" localSheetId="0" hidden="1">'на 01.10.2016'!$A$7:$K$143</definedName>
    <definedName name="Z_B5A6FE62_B66C_45B1_AF17_B7686B0B3A3F_.wvu.FilterData" localSheetId="0" hidden="1">'на 01.10.2016'!$A$7:$P$401</definedName>
    <definedName name="Z_B603D180_E09A_4B9C_810F_9423EBA4A0EA_.wvu.FilterData" localSheetId="0" hidden="1">'на 01.10.2016'!$A$7:$P$401</definedName>
    <definedName name="Z_B698776A_6A96_445D_9813_F5440DD90495_.wvu.FilterData" localSheetId="0" hidden="1">'на 01.10.2016'!$A$7:$P$401</definedName>
    <definedName name="Z_B7A4DC29_6CA3_48BD_BD2B_5EA61D250392_.wvu.FilterData" localSheetId="0" hidden="1">'на 01.10.2016'!$A$7:$K$143</definedName>
    <definedName name="Z_B7F67755_3086_43A6_86E7_370F80E61BD0_.wvu.FilterData" localSheetId="0" hidden="1">'на 01.10.2016'!$A$7:$K$143</definedName>
    <definedName name="Z_BAB4825B_2E54_4A6C_A72D_1F8E7B4FEFFB_.wvu.FilterData" localSheetId="0" hidden="1">'на 01.10.2016'!$A$7:$P$401</definedName>
    <definedName name="Z_BC09D690_D177_4FC8_AE1F_8F0F0D5C6ECD_.wvu.FilterData" localSheetId="0" hidden="1">'на 01.10.2016'!$A$7:$P$401</definedName>
    <definedName name="Z_BC6910FC_42F8_457B_8F8D_9BC0111CE283_.wvu.FilterData" localSheetId="0" hidden="1">'на 01.10.2016'!$A$7:$P$401</definedName>
    <definedName name="Z_BE442298_736F_47F5_9592_76FFCCDA59DB_.wvu.FilterData" localSheetId="0" hidden="1">'на 01.10.2016'!$A$7:$K$143</definedName>
    <definedName name="Z_BE97AC31_BFEB_4520_BC44_68B0C987C70A_.wvu.FilterData" localSheetId="0" hidden="1">'на 01.10.2016'!$A$7:$P$401</definedName>
    <definedName name="Z_BEA0FDBA_BB07_4C19_8BBD_5E57EE395C09_.wvu.Cols" localSheetId="0" hidden="1">'на 01.10.2016'!$C:$E,'на 01.10.2016'!$M:$N</definedName>
    <definedName name="Z_BEA0FDBA_BB07_4C19_8BBD_5E57EE395C09_.wvu.FilterData" localSheetId="0" hidden="1">'на 01.10.2016'!$A$7:$P$401</definedName>
    <definedName name="Z_BEA0FDBA_BB07_4C19_8BBD_5E57EE395C09_.wvu.PrintArea" localSheetId="0" hidden="1">'на 01.10.2016'!$A$1:$P$194</definedName>
    <definedName name="Z_BEA0FDBA_BB07_4C19_8BBD_5E57EE395C09_.wvu.PrintTitles" localSheetId="0" hidden="1">'на 01.10.2016'!$5:$8</definedName>
    <definedName name="Z_BF65F093_304D_44F0_BF26_E5F8F9093CF5_.wvu.FilterData" localSheetId="0" hidden="1">'на 01.10.2016'!$A$7:$P$61</definedName>
    <definedName name="Z_C2E7FF11_4F7B_4EA9_AD45_A8385AC4BC24_.wvu.FilterData" localSheetId="0" hidden="1">'на 01.10.2016'!$A$7:$K$143</definedName>
    <definedName name="Z_C3E7B974_7E68_49C9_8A66_DEBBC3D71CB8_.wvu.FilterData" localSheetId="0" hidden="1">'на 01.10.2016'!$A$7:$K$143</definedName>
    <definedName name="Z_C47D5376_4107_461D_B353_0F0CCA5A27B8_.wvu.FilterData" localSheetId="0" hidden="1">'на 01.10.2016'!$A$7:$K$143</definedName>
    <definedName name="Z_C4A81194_E272_4927_9E06_D47C43E50753_.wvu.FilterData" localSheetId="0" hidden="1">'на 01.10.2016'!$A$7:$P$401</definedName>
    <definedName name="Z_C55D9313_9108_41CA_AD0E_FE2F7292C638_.wvu.FilterData" localSheetId="0" hidden="1">'на 01.10.2016'!$A$7:$K$143</definedName>
    <definedName name="Z_C5D84F85_3611_4C2A_903D_ECFF3A3DA3D9_.wvu.FilterData" localSheetId="0" hidden="1">'на 01.10.2016'!$A$7:$K$143</definedName>
    <definedName name="Z_C70C85CF_5ADB_4631_87C7_BA23E9BE3196_.wvu.FilterData" localSheetId="0" hidden="1">'на 01.10.2016'!$A$7:$P$401</definedName>
    <definedName name="Z_C74598AC_1D4B_466D_8455_294C1A2E69BB_.wvu.FilterData" localSheetId="0" hidden="1">'на 01.10.2016'!$A$7:$K$143</definedName>
    <definedName name="Z_C8C7D91A_0101_429D_A7C4_25C2A366909A_.wvu.Cols" localSheetId="0" hidden="1">'на 01.10.2016'!#REF!,'на 01.10.2016'!#REF!</definedName>
    <definedName name="Z_C8C7D91A_0101_429D_A7C4_25C2A366909A_.wvu.FilterData" localSheetId="0" hidden="1">'на 01.10.2016'!$A$7:$P$61</definedName>
    <definedName name="Z_C8C7D91A_0101_429D_A7C4_25C2A366909A_.wvu.Rows" localSheetId="0" hidden="1">'на 01.10.2016'!#REF!,'на 01.10.2016'!#REF!,'на 01.10.2016'!#REF!,'на 01.10.2016'!#REF!,'на 01.10.2016'!#REF!,'на 01.10.2016'!#REF!,'на 01.10.2016'!#REF!,'на 01.10.2016'!#REF!,'на 01.10.2016'!#REF!,'на 01.10.2016'!#REF!</definedName>
    <definedName name="Z_C9081176_529C_43E8_8E20_8AC24E7C2D35_.wvu.FilterData" localSheetId="0" hidden="1">'на 01.10.2016'!$A$7:$P$401</definedName>
    <definedName name="Z_C98B4A4E_FC1F_45B3_ABB0_7DC9BD4B8057_.wvu.FilterData" localSheetId="0" hidden="1">'на 01.10.2016'!$A$7:$K$143</definedName>
    <definedName name="Z_CAAD7F8A_A328_4C0A_9ECF_2AD83A08D699_.wvu.FilterData" localSheetId="0" hidden="1">'на 01.10.2016'!$A$7:$K$143</definedName>
    <definedName name="Z_CB1A56DC_A135_41E6_8A02_AE4E518C879F_.wvu.FilterData" localSheetId="0" hidden="1">'на 01.10.2016'!$A$7:$P$401</definedName>
    <definedName name="Z_CB4880DD_CE83_4DFC_BBA7_70687256D5A4_.wvu.FilterData" localSheetId="0" hidden="1">'на 01.10.2016'!$A$7:$K$143</definedName>
    <definedName name="Z_CBDBA949_FA00_4560_8001_BD00E63FCCA4_.wvu.FilterData" localSheetId="0" hidden="1">'на 01.10.2016'!$A$7:$P$401</definedName>
    <definedName name="Z_CBF12BD1_A071_4448_8003_32E74F40E3E3_.wvu.FilterData" localSheetId="0" hidden="1">'на 01.10.2016'!$A$7:$K$143</definedName>
    <definedName name="Z_CBF9D894_3FD2_4B68_BAC8_643DB23851C0_.wvu.FilterData" localSheetId="0" hidden="1">'на 01.10.2016'!$A$7:$K$143</definedName>
    <definedName name="Z_CBF9D894_3FD2_4B68_BAC8_643DB23851C0_.wvu.Rows" localSheetId="0" hidden="1">'на 01.10.2016'!#REF!,'на 01.10.2016'!#REF!,'на 01.10.2016'!#REF!,'на 01.10.2016'!#REF!</definedName>
    <definedName name="Z_CCC17219_B1A3_4C6B_B903_0E4550432FD0_.wvu.FilterData" localSheetId="0" hidden="1">'на 01.10.2016'!$A$7:$K$143</definedName>
    <definedName name="Z_D165341F_496A_48CE_829A_555B16787041_.wvu.FilterData" localSheetId="0" hidden="1">'на 01.10.2016'!$A$7:$P$401</definedName>
    <definedName name="Z_D20DFCFE_63F9_4265_B37B_4F36C46DF159_.wvu.Cols" localSheetId="0" hidden="1">'на 01.10.2016'!$C:$E,'на 01.10.2016'!$M:$N</definedName>
    <definedName name="Z_D20DFCFE_63F9_4265_B37B_4F36C46DF159_.wvu.FilterData" localSheetId="0" hidden="1">'на 01.10.2016'!$A$7:$P$401</definedName>
    <definedName name="Z_D20DFCFE_63F9_4265_B37B_4F36C46DF159_.wvu.PrintArea" localSheetId="0" hidden="1">'на 01.10.2016'!$A$1:$P$194</definedName>
    <definedName name="Z_D20DFCFE_63F9_4265_B37B_4F36C46DF159_.wvu.PrintTitles" localSheetId="0" hidden="1">'на 01.10.2016'!$5:$8</definedName>
    <definedName name="Z_D20DFCFE_63F9_4265_B37B_4F36C46DF159_.wvu.Rows" localSheetId="0" hidden="1">'на 01.10.2016'!#REF!,'на 01.10.2016'!#REF!,'на 01.10.2016'!#REF!,'на 01.10.2016'!#REF!,'на 01.10.2016'!#REF!</definedName>
    <definedName name="Z_D2422493_0DF6_4923_AFF9_1CE532FC9E0E_.wvu.FilterData" localSheetId="0" hidden="1">'на 01.10.2016'!$A$7:$P$401</definedName>
    <definedName name="Z_D26EAC32_42CC_46AF_8D27_8094727B2B8E_.wvu.FilterData" localSheetId="0" hidden="1">'на 01.10.2016'!$A$7:$P$401</definedName>
    <definedName name="Z_D298563F_7459_410D_A6E1_6B1CDFA6DAA7_.wvu.FilterData" localSheetId="0" hidden="1">'на 01.10.2016'!$A$7:$P$401</definedName>
    <definedName name="Z_D2D627FD_8F1D_4B0C_A4A1_1A515A2831A8_.wvu.FilterData" localSheetId="0" hidden="1">'на 01.10.2016'!$A$7:$P$401</definedName>
    <definedName name="Z_D343F548_3DE6_4716_9B8B_0FF1DF1B1DE3_.wvu.FilterData" localSheetId="0" hidden="1">'на 01.10.2016'!$A$7:$K$143</definedName>
    <definedName name="Z_D3607008_88A4_4735_BF9B_0D60A732D98C_.wvu.FilterData" localSheetId="0" hidden="1">'на 01.10.2016'!$A$7:$P$401</definedName>
    <definedName name="Z_D3C3EFC2_493C_4B9B_BC16_8147B08F8F65_.wvu.FilterData" localSheetId="0" hidden="1">'на 01.10.2016'!$A$7:$K$143</definedName>
    <definedName name="Z_D3D848E7_EB88_4E73_985E_C45B9AE68145_.wvu.FilterData" localSheetId="0" hidden="1">'на 01.10.2016'!$A$7:$P$401</definedName>
    <definedName name="Z_D3E86F4B_12A8_47CC_AEBE_74534991E315_.wvu.FilterData" localSheetId="0" hidden="1">'на 01.10.2016'!$A$7:$P$401</definedName>
    <definedName name="Z_D3F31BC4_4CDA_431B_BA5F_ADE76A923760_.wvu.FilterData" localSheetId="0" hidden="1">'на 01.10.2016'!$A$7:$K$143</definedName>
    <definedName name="Z_D45ABB34_16CC_462D_8459_2034D47F465D_.wvu.FilterData" localSheetId="0" hidden="1">'на 01.10.2016'!$A$7:$K$143</definedName>
    <definedName name="Z_D479007E_A9E8_4307_A3E8_18A2BB5C55F2_.wvu.FilterData" localSheetId="0" hidden="1">'на 01.10.2016'!$A$7:$P$401</definedName>
    <definedName name="Z_D48CEF89_B01B_4E1D_92B4_235EA4A40F11_.wvu.FilterData" localSheetId="0" hidden="1">'на 01.10.2016'!$A$7:$P$401</definedName>
    <definedName name="Z_D4B24D18_8D1D_47A1_AE9B_21E3F9EF98EE_.wvu.FilterData" localSheetId="0" hidden="1">'на 01.10.2016'!$A$7:$P$401</definedName>
    <definedName name="Z_D4E20E73_FD07_4BE4_B8FA_FE6B214643C4_.wvu.FilterData" localSheetId="0" hidden="1">'на 01.10.2016'!$A$7:$P$401</definedName>
    <definedName name="Z_D5317C3A_3EDA_404B_818D_EAF558810951_.wvu.FilterData" localSheetId="0" hidden="1">'на 01.10.2016'!$A$7:$K$143</definedName>
    <definedName name="Z_D537FB3B_712D_486A_BA32_4F73BEB2AA19_.wvu.FilterData" localSheetId="0" hidden="1">'на 01.10.2016'!$A$7:$K$143</definedName>
    <definedName name="Z_D6730C21_0555_4F4D_B589_9DE5CFF9C442_.wvu.FilterData" localSheetId="0" hidden="1">'на 01.10.2016'!$A$7:$K$143</definedName>
    <definedName name="Z_D7BC8E82_4392_4806_9DAE_D94253790B9C_.wvu.Cols" localSheetId="0" hidden="1">'на 01.10.2016'!$C:$E,'на 01.10.2016'!$M:$N,'на 01.10.2016'!$Q:$BT</definedName>
    <definedName name="Z_D7BC8E82_4392_4806_9DAE_D94253790B9C_.wvu.FilterData" localSheetId="0" hidden="1">'на 01.10.2016'!$A$7:$P$401</definedName>
    <definedName name="Z_D7BC8E82_4392_4806_9DAE_D94253790B9C_.wvu.PrintArea" localSheetId="0" hidden="1">'на 01.10.2016'!$A$1:$BT$194</definedName>
    <definedName name="Z_D7BC8E82_4392_4806_9DAE_D94253790B9C_.wvu.PrintTitles" localSheetId="0" hidden="1">'на 01.10.2016'!$5:$7</definedName>
    <definedName name="Z_D8418465_ECB6_40A4_8538_9D6D02B4E5CE_.wvu.FilterData" localSheetId="0" hidden="1">'на 01.10.2016'!$A$7:$K$143</definedName>
    <definedName name="Z_D8836A46_4276_4875_86A1_BB0E2B53006C_.wvu.FilterData" localSheetId="0" hidden="1">'на 01.10.2016'!$A$7:$K$143</definedName>
    <definedName name="Z_D8EBE17E_7A1A_4392_901C_A4C8DD4BAF28_.wvu.FilterData" localSheetId="0" hidden="1">'на 01.10.2016'!$A$7:$K$143</definedName>
    <definedName name="Z_D930048B_C8C6_498D_B7FD_C4CFAF447C25_.wvu.FilterData" localSheetId="0" hidden="1">'на 01.10.2016'!$A$7:$P$401</definedName>
    <definedName name="Z_D93C7415_B321_4E66_84AD_0490D011FDE7_.wvu.FilterData" localSheetId="0" hidden="1">'на 01.10.2016'!$A$7:$P$401</definedName>
    <definedName name="Z_D954D534_B88D_4A21_85D6_C0757B597D1E_.wvu.FilterData" localSheetId="0" hidden="1">'на 01.10.2016'!$A$7:$P$401</definedName>
    <definedName name="Z_D95852A1_B0FC_4AC5_B62B_5CCBE05B0D15_.wvu.Cols" localSheetId="0" hidden="1">'на 01.10.2016'!$C:$E,'на 01.10.2016'!$M:$N</definedName>
    <definedName name="Z_D95852A1_B0FC_4AC5_B62B_5CCBE05B0D15_.wvu.FilterData" localSheetId="0" hidden="1">'на 01.10.2016'!$A$7:$P$401</definedName>
    <definedName name="Z_D95852A1_B0FC_4AC5_B62B_5CCBE05B0D15_.wvu.PrintArea" localSheetId="0" hidden="1">'на 01.10.2016'!$A$1:$P$194</definedName>
    <definedName name="Z_D97BC9A1_860C_45CB_8FAD_B69CEE39193C_.wvu.FilterData" localSheetId="0" hidden="1">'на 01.10.2016'!$A$7:$K$143</definedName>
    <definedName name="Z_D981844C_3450_4227_997A_DB8016618FC0_.wvu.FilterData" localSheetId="0" hidden="1">'на 01.10.2016'!$A$7:$P$401</definedName>
    <definedName name="Z_DA3033F1_502F_4BCA_B468_CBA3E20E7254_.wvu.FilterData" localSheetId="0" hidden="1">'на 01.10.2016'!$A$7:$P$401</definedName>
    <definedName name="Z_DA5DFA2D_C1AA_42F5_8828_D1905F1C9BD0_.wvu.FilterData" localSheetId="0" hidden="1">'на 01.10.2016'!$A$7:$P$401</definedName>
    <definedName name="Z_DBB88EE7_5C30_443C_A427_07BA2C7C58DA_.wvu.FilterData" localSheetId="0" hidden="1">'на 01.10.2016'!$A$7:$P$401</definedName>
    <definedName name="Z_DBF40914_927D_466F_8B6B_F333D1AFC9B0_.wvu.FilterData" localSheetId="0" hidden="1">'на 01.10.2016'!$A$7:$P$401</definedName>
    <definedName name="Z_DC263B7F_7E05_4E66_AE9F_05D6DDE635B1_.wvu.FilterData" localSheetId="0" hidden="1">'на 01.10.2016'!$A$7:$K$143</definedName>
    <definedName name="Z_DC796824_ECED_4590_A3E8_8D5A3534C637_.wvu.FilterData" localSheetId="0" hidden="1">'на 01.10.2016'!$A$7:$K$143</definedName>
    <definedName name="Z_DCC1B134_1BA2_418E_B1D0_0938D8743370_.wvu.FilterData" localSheetId="0" hidden="1">'на 01.10.2016'!$A$7:$K$143</definedName>
    <definedName name="Z_DDA68DE5_EF86_4A52_97CD_589088C5FE7A_.wvu.FilterData" localSheetId="0" hidden="1">'на 01.10.2016'!$A$7:$K$143</definedName>
    <definedName name="Z_DE210091_3D77_4964_B6B2_443A728CBE9E_.wvu.FilterData" localSheetId="0" hidden="1">'на 01.10.2016'!$A$7:$P$401</definedName>
    <definedName name="Z_DE2C3999_6F3E_4D24_86CF_8803BF5FAA48_.wvu.FilterData" localSheetId="0" hidden="1">'на 01.10.2016'!$A$7:$P$61</definedName>
    <definedName name="Z_DEA6EDB2_F27D_4C8F_B061_FD80BEC5543F_.wvu.FilterData" localSheetId="0" hidden="1">'на 01.10.2016'!$A$7:$K$143</definedName>
    <definedName name="Z_DECE3245_1BE4_4A3F_B644_E8DE80612C1E_.wvu.FilterData" localSheetId="0" hidden="1">'на 01.10.2016'!$A$7:$P$401</definedName>
    <definedName name="Z_DF6B7D46_D8DB_447A_83A4_53EE18358CF2_.wvu.FilterData" localSheetId="0" hidden="1">'на 01.10.2016'!$A$7:$P$401</definedName>
    <definedName name="Z_DFB08918_D5A4_4224_AEA5_63620C0D53DD_.wvu.FilterData" localSheetId="0" hidden="1">'на 01.10.2016'!$A$7:$P$401</definedName>
    <definedName name="Z_E0B34E03_0754_4713_9A98_5ACEE69C9E71_.wvu.FilterData" localSheetId="0" hidden="1">'на 01.10.2016'!$A$7:$K$143</definedName>
    <definedName name="Z_E1E7843B_3EC3_4FFF_9B1C_53E7DE6A4004_.wvu.FilterData" localSheetId="0" hidden="1">'на 01.10.2016'!$A$7:$K$143</definedName>
    <definedName name="Z_E25FE844_1AD8_4E16_B2DB_9033A702F13A_.wvu.FilterData" localSheetId="0" hidden="1">'на 01.10.2016'!$A$7:$K$143</definedName>
    <definedName name="Z_E2861A4E_263A_4BE6_9223_2DA352B0AD2D_.wvu.FilterData" localSheetId="0" hidden="1">'на 01.10.2016'!$A$7:$K$143</definedName>
    <definedName name="Z_E2FB76DF_1C94_4620_8087_FEE12FDAA3D2_.wvu.FilterData" localSheetId="0" hidden="1">'на 01.10.2016'!$A$7:$K$143</definedName>
    <definedName name="Z_E3C6ECC1_0F12_435D_9B36_B23F6133337F_.wvu.FilterData" localSheetId="0" hidden="1">'на 01.10.2016'!$A$7:$K$143</definedName>
    <definedName name="Z_E437F2F2_3B79_49F0_9901_D31498A163D7_.wvu.FilterData" localSheetId="0" hidden="1">'на 01.10.2016'!$A$7:$P$401</definedName>
    <definedName name="Z_E531BAEE_E556_4AEF_B35B_C675BD99939C_.wvu.FilterData" localSheetId="0" hidden="1">'на 01.10.2016'!$A$7:$P$401</definedName>
    <definedName name="Z_E5EC7523_F88D_4AD4_9A8D_84C16AB7BFC1_.wvu.FilterData" localSheetId="0" hidden="1">'на 01.10.2016'!$A$7:$P$401</definedName>
    <definedName name="Z_E79ABD49_719F_4887_A43D_3DE66BF8AD95_.wvu.FilterData" localSheetId="0" hidden="1">'на 01.10.2016'!$A$7:$P$401</definedName>
    <definedName name="Z_E85A9955_A3DD_46D7_A4A3_9B67A0E2B00C_.wvu.FilterData" localSheetId="0" hidden="1">'на 01.10.2016'!$A$7:$P$401</definedName>
    <definedName name="Z_E88E1D11_18C0_4724_9D4F_2C85DDF57564_.wvu.FilterData" localSheetId="0" hidden="1">'на 01.10.2016'!$A$7:$K$143</definedName>
    <definedName name="Z_EA234825_5817_4C50_AC45_83D70F061045_.wvu.FilterData" localSheetId="0" hidden="1">'на 01.10.2016'!$A$7:$P$401</definedName>
    <definedName name="Z_EA769D6D_3269_481D_9974_BC10C6C55FF6_.wvu.FilterData" localSheetId="0" hidden="1">'на 01.10.2016'!$A$7:$K$143</definedName>
    <definedName name="Z_EB2D8BE6_72BC_4D23_BEC7_DBF109493B0C_.wvu.FilterData" localSheetId="0" hidden="1">'на 01.10.2016'!$A$7:$P$401</definedName>
    <definedName name="Z_EBCDBD63_50FE_4D52_B280_2A723FA77236_.wvu.FilterData" localSheetId="0" hidden="1">'на 01.10.2016'!$A$7:$K$143</definedName>
    <definedName name="Z_EC6B58CC_C695_4EAF_B026_DA7CE6279D7A_.wvu.FilterData" localSheetId="0" hidden="1">'на 01.10.2016'!$A$7:$P$401</definedName>
    <definedName name="Z_EC741CE0_C720_481D_9CFE_596247B0CF36_.wvu.FilterData" localSheetId="0" hidden="1">'на 01.10.2016'!$A$7:$P$401</definedName>
    <definedName name="Z_ED74FBD3_DF35_4798_8C2A_7ADA46D140AA_.wvu.FilterData" localSheetId="0" hidden="1">'на 01.10.2016'!$A$7:$K$143</definedName>
    <definedName name="Z_EF1610FE_843B_4864_9DAD_05F697DD47DC_.wvu.FilterData" localSheetId="0" hidden="1">'на 01.10.2016'!$A$7:$P$401</definedName>
    <definedName name="Z_EFFADE78_6F23_4B5D_AE74_3E82BA29B398_.wvu.FilterData" localSheetId="0" hidden="1">'на 01.10.2016'!$A$7:$K$143</definedName>
    <definedName name="Z_F140A98E_30AA_4FD0_8B93_08F8951EDE5E_.wvu.FilterData" localSheetId="0" hidden="1">'на 01.10.2016'!$A$7:$K$143</definedName>
    <definedName name="Z_F2110B0B_AAE7_42F0_B553_C360E9249AD4_.wvu.Cols" localSheetId="0" hidden="1">'на 01.10.2016'!$C:$E,'на 01.10.2016'!$M:$N,'на 01.10.2016'!$Q:$BT</definedName>
    <definedName name="Z_F2110B0B_AAE7_42F0_B553_C360E9249AD4_.wvu.FilterData" localSheetId="0" hidden="1">'на 01.10.2016'!$A$7:$P$401</definedName>
    <definedName name="Z_F2110B0B_AAE7_42F0_B553_C360E9249AD4_.wvu.PrintArea" localSheetId="0" hidden="1">'на 01.10.2016'!$A$1:$BT$194</definedName>
    <definedName name="Z_F2110B0B_AAE7_42F0_B553_C360E9249AD4_.wvu.PrintTitles" localSheetId="0" hidden="1">'на 01.10.2016'!$5:$7</definedName>
    <definedName name="Z_F30FADD4_07E9_4B4F_B53A_86E542EF0570_.wvu.FilterData" localSheetId="0" hidden="1">'на 01.10.2016'!$A$7:$P$401</definedName>
    <definedName name="Z_F34EC6B1_390D_4B75_852C_F8775ACC3B29_.wvu.FilterData" localSheetId="0" hidden="1">'на 01.10.2016'!$A$7:$P$401</definedName>
    <definedName name="Z_F3E148B1_ED1B_4330_84E7_EFC4722C807A_.wvu.FilterData" localSheetId="0" hidden="1">'на 01.10.2016'!$A$7:$P$401</definedName>
    <definedName name="Z_F8CD48ED_A67F_492E_A417_09D352E93E12_.wvu.FilterData" localSheetId="0" hidden="1">'на 01.10.2016'!$A$7:$K$143</definedName>
    <definedName name="Z_F8E4304E_2CC4_4F73_A08A_BA6FE8EB77EF_.wvu.FilterData" localSheetId="0" hidden="1">'на 01.10.2016'!$A$7:$P$401</definedName>
    <definedName name="Z_F9F96D65_7E5D_4EDB_B47B_CD800EE8793F_.wvu.FilterData" localSheetId="0" hidden="1">'на 01.10.2016'!$A$7:$K$143</definedName>
    <definedName name="Z_FA263ADC_F7F9_4F21_8D0A_B162CFE58321_.wvu.FilterData" localSheetId="0" hidden="1">'на 01.10.2016'!$A$7:$P$401</definedName>
    <definedName name="Z_FA47CA05_CCF1_4EDC_AAF6_26967695B1D8_.wvu.FilterData" localSheetId="0" hidden="1">'на 01.10.2016'!$A$7:$P$401</definedName>
    <definedName name="Z_FAEA1540_FB92_4A7F_8E18_381E2C6FAF74_.wvu.FilterData" localSheetId="0" hidden="1">'на 01.10.2016'!$A$7:$K$143</definedName>
    <definedName name="Z_FBEEEF36_B47B_4551_8D8A_904E9E1222D4_.wvu.FilterData" localSheetId="0" hidden="1">'на 01.10.2016'!$A$7:$K$143</definedName>
    <definedName name="Z_FD0E1B66_1ED2_4768_AEAA_4813773FCD1B_.wvu.FilterData" localSheetId="0" hidden="1">'на 01.10.2016'!$A$7:$K$143</definedName>
    <definedName name="Z_FD5CEF9A_4499_4018_A32D_B5C5AF11D935_.wvu.FilterData" localSheetId="0" hidden="1">'на 01.10.2016'!$A$7:$P$401</definedName>
    <definedName name="Z_FE9D531A_F987_4486_AC6F_37568587E0CC_.wvu.FilterData" localSheetId="0" hidden="1">'на 01.10.2016'!$A$7:$P$401</definedName>
    <definedName name="Z_FEE18FC2_E5D2_4C59_B7D0_FDF82F2008D4_.wvu.FilterData" localSheetId="0" hidden="1">'на 01.10.2016'!$A$7:$P$401</definedName>
    <definedName name="Z_FF7CC20D_CA9E_46D2_A113_9EB09E8A7DF6_.wvu.FilterData" localSheetId="0" hidden="1">'на 01.10.2016'!$A$7:$K$143</definedName>
    <definedName name="Z_FF9EFDBE_F5FD_432E_96BA_C22D4E9B91D4_.wvu.FilterData" localSheetId="0" hidden="1">'на 01.10.2016'!$A$7:$P$401</definedName>
    <definedName name="_xlnm.Print_Titles" localSheetId="0">'на 01.10.2016'!$5:$8</definedName>
    <definedName name="_xlnm.Print_Area" localSheetId="0">'на 01.10.2016'!$A$1:$P$194</definedName>
  </definedNames>
  <calcPr calcId="144525" fullPrecision="0"/>
  <customWorkbookViews>
    <customWorkbookView name="kou - Личное представление" guid="{998B8119-4FF3-4A16-838D-539C6AE34D55}" mergeInterval="0" personalView="1" maximized="1" windowWidth="1148" windowHeight="645"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Шулепова Ольга Анатольевна - Личное представление" guid="{67ADFAE6-A9AF-44D7-8539-93CD0F6B7849}"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9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kaa - Личное представление" guid="{7B245AB0-C2AF-4822-BFC4-2399F85856C1}" mergeInterval="0" personalView="1" maximized="1" xWindow="1" yWindow="1" windowWidth="1280" windowHeight="803"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s>
  <fileRecoveryPr autoRecover="0"/>
</workbook>
</file>

<file path=xl/calcChain.xml><?xml version="1.0" encoding="utf-8"?>
<calcChain xmlns="http://schemas.openxmlformats.org/spreadsheetml/2006/main">
  <c r="K63" i="1" l="1"/>
  <c r="I63" i="1"/>
  <c r="J14" i="1" l="1"/>
  <c r="H26" i="1"/>
  <c r="L32" i="1"/>
  <c r="O32" i="1" l="1"/>
  <c r="L33" i="1"/>
  <c r="L172" i="1"/>
  <c r="L154" i="1"/>
  <c r="J155" i="1" l="1"/>
  <c r="L25" i="1" l="1"/>
  <c r="L26" i="1"/>
  <c r="L51" i="1" l="1"/>
  <c r="F151" i="1" l="1"/>
  <c r="L45" i="1"/>
  <c r="L186" i="1"/>
  <c r="H187" i="1"/>
  <c r="L180" i="1"/>
  <c r="L179" i="1"/>
  <c r="L177" i="1" s="1"/>
  <c r="H180" i="1"/>
  <c r="H40" i="1" l="1"/>
  <c r="G45" i="1"/>
  <c r="G156" i="1" l="1"/>
  <c r="L156" i="1" s="1"/>
  <c r="H155" i="1"/>
  <c r="H156" i="1" s="1"/>
  <c r="J156" i="1" s="1"/>
  <c r="H117" i="1" l="1"/>
  <c r="J173" i="1" l="1"/>
  <c r="O172" i="1" l="1"/>
  <c r="L21" i="1" l="1"/>
  <c r="L147" i="1" l="1"/>
  <c r="K46" i="1"/>
  <c r="K45" i="1"/>
  <c r="J43" i="1"/>
  <c r="I46" i="1"/>
  <c r="I45" i="1"/>
  <c r="H43" i="1"/>
  <c r="G180" i="1" l="1"/>
  <c r="F180" i="1" l="1"/>
  <c r="O105" i="1" l="1"/>
  <c r="H58" i="1" l="1"/>
  <c r="H27" i="1"/>
  <c r="L187" i="1" l="1"/>
  <c r="F26" i="1" l="1"/>
  <c r="O87" i="1"/>
  <c r="O86" i="1"/>
  <c r="O81" i="1"/>
  <c r="O80" i="1"/>
  <c r="L57" i="1" l="1"/>
  <c r="O179" i="1"/>
  <c r="O180" i="1"/>
  <c r="K56" i="1"/>
  <c r="G33" i="1"/>
  <c r="O33" i="1" s="1"/>
  <c r="H173" i="1"/>
  <c r="L174" i="1"/>
  <c r="L173" i="1"/>
  <c r="G174" i="1"/>
  <c r="G173" i="1"/>
  <c r="H174" i="1" l="1"/>
  <c r="G34" i="1" l="1"/>
  <c r="L93" i="1" l="1"/>
  <c r="J132" i="1"/>
  <c r="H33" i="1" l="1"/>
  <c r="H92" i="1"/>
  <c r="J92" i="1" l="1"/>
  <c r="H74" i="1"/>
  <c r="O19" i="1"/>
  <c r="K19" i="1"/>
  <c r="I19" i="1"/>
  <c r="O44" i="1" l="1"/>
  <c r="O47" i="1"/>
  <c r="O26" i="1"/>
  <c r="O51" i="1"/>
  <c r="O54" i="1"/>
  <c r="O38" i="1" l="1"/>
  <c r="K38" i="1"/>
  <c r="O39" i="1"/>
  <c r="I34" i="1" l="1"/>
  <c r="K34" i="1"/>
  <c r="I153" i="1"/>
  <c r="O117" i="1"/>
  <c r="O174" i="1"/>
  <c r="O34" i="1"/>
  <c r="L49" i="1"/>
  <c r="J170" i="1" l="1"/>
  <c r="L102" i="1" l="1"/>
  <c r="I81" i="1" l="1"/>
  <c r="O70" i="1" l="1"/>
  <c r="L77" i="1" l="1"/>
  <c r="L78" i="1"/>
  <c r="L84" i="1"/>
  <c r="L94" i="1"/>
  <c r="L76" i="1" s="1"/>
  <c r="L75" i="1"/>
  <c r="L92" i="1"/>
  <c r="L96" i="1"/>
  <c r="O133" i="1"/>
  <c r="L132" i="1"/>
  <c r="O141" i="1"/>
  <c r="O140" i="1"/>
  <c r="O139" i="1"/>
  <c r="O135" i="1"/>
  <c r="O134" i="1"/>
  <c r="O129" i="1"/>
  <c r="O128" i="1"/>
  <c r="O127" i="1"/>
  <c r="O123" i="1"/>
  <c r="O122" i="1"/>
  <c r="O121" i="1"/>
  <c r="O116" i="1"/>
  <c r="O115" i="1"/>
  <c r="O104" i="1"/>
  <c r="O103" i="1"/>
  <c r="O99" i="1"/>
  <c r="O98" i="1"/>
  <c r="O97" i="1"/>
  <c r="O85" i="1"/>
  <c r="O79" i="1"/>
  <c r="O114" i="1" l="1"/>
  <c r="O120" i="1"/>
  <c r="O138" i="1"/>
  <c r="O132" i="1"/>
  <c r="O126" i="1"/>
  <c r="O78" i="1"/>
  <c r="L90" i="1"/>
  <c r="O96" i="1"/>
  <c r="O102" i="1"/>
  <c r="C54" i="1"/>
  <c r="D54" i="1"/>
  <c r="E54" i="1"/>
  <c r="L71" i="1" l="1"/>
  <c r="L70" i="1"/>
  <c r="L74" i="1"/>
  <c r="L73" i="1"/>
  <c r="L111" i="1"/>
  <c r="L110" i="1"/>
  <c r="L109" i="1"/>
  <c r="L126" i="1"/>
  <c r="L108" i="1" l="1"/>
  <c r="L68" i="1"/>
  <c r="L69" i="1"/>
  <c r="L67" i="1"/>
  <c r="L72" i="1"/>
  <c r="O57" i="1"/>
  <c r="J84" i="1"/>
  <c r="L63" i="1" l="1"/>
  <c r="K156" i="1"/>
  <c r="I156" i="1"/>
  <c r="O181" i="1" l="1"/>
  <c r="K180" i="1"/>
  <c r="O40" i="1"/>
  <c r="M184" i="1" l="1"/>
  <c r="N184" i="1"/>
  <c r="J184" i="1"/>
  <c r="L184" i="1" l="1"/>
  <c r="G55" i="1"/>
  <c r="N14" i="1" l="1"/>
  <c r="M14" i="1"/>
  <c r="L14" i="1"/>
  <c r="H184" i="1"/>
  <c r="G184" i="1"/>
  <c r="F184" i="1"/>
  <c r="O46" i="1"/>
  <c r="O147" i="1"/>
  <c r="L43" i="1" l="1"/>
  <c r="O45" i="1"/>
  <c r="L114" i="1"/>
  <c r="M37" i="1"/>
  <c r="N37" i="1"/>
  <c r="O37" i="1"/>
  <c r="J37" i="1"/>
  <c r="G37" i="1"/>
  <c r="H37" i="1"/>
  <c r="F37" i="1"/>
  <c r="K40" i="1"/>
  <c r="I40" i="1"/>
  <c r="L37" i="1"/>
  <c r="K39" i="1"/>
  <c r="I39" i="1"/>
  <c r="K174" i="1"/>
  <c r="I174" i="1"/>
  <c r="I38" i="1"/>
  <c r="L120" i="1"/>
  <c r="K51" i="1"/>
  <c r="J49" i="1"/>
  <c r="G49" i="1"/>
  <c r="O49" i="1" s="1"/>
  <c r="F49" i="1"/>
  <c r="I180" i="1"/>
  <c r="I51" i="1"/>
  <c r="O50" i="1"/>
  <c r="O187" i="1"/>
  <c r="O186" i="1"/>
  <c r="I187" i="1"/>
  <c r="I186" i="1"/>
  <c r="K187" i="1"/>
  <c r="K186" i="1"/>
  <c r="O189" i="1"/>
  <c r="O188" i="1"/>
  <c r="O185" i="1"/>
  <c r="O184" i="1" l="1"/>
  <c r="H49" i="1"/>
  <c r="I49" i="1" s="1"/>
  <c r="G43" i="1"/>
  <c r="F43" i="1"/>
  <c r="I37" i="1"/>
  <c r="K37" i="1"/>
  <c r="K49" i="1"/>
  <c r="O43" i="1" l="1"/>
  <c r="I43" i="1"/>
  <c r="K43" i="1"/>
  <c r="M21" i="1"/>
  <c r="N21" i="1"/>
  <c r="J21" i="1"/>
  <c r="G21" i="1"/>
  <c r="H21" i="1"/>
  <c r="F21" i="1"/>
  <c r="K26" i="1"/>
  <c r="K25" i="1"/>
  <c r="I26" i="1"/>
  <c r="K150" i="1"/>
  <c r="I150" i="1"/>
  <c r="H148" i="1"/>
  <c r="F144" i="1"/>
  <c r="O150" i="1"/>
  <c r="O14" i="1" s="1"/>
  <c r="O149" i="1"/>
  <c r="O146" i="1"/>
  <c r="L144" i="1"/>
  <c r="L55" i="1"/>
  <c r="I155" i="1"/>
  <c r="I154" i="1"/>
  <c r="K155" i="1"/>
  <c r="K154" i="1"/>
  <c r="K153" i="1"/>
  <c r="N151" i="1"/>
  <c r="M151" i="1"/>
  <c r="L151" i="1"/>
  <c r="J151" i="1"/>
  <c r="H151" i="1"/>
  <c r="G151" i="1"/>
  <c r="I25" i="1"/>
  <c r="K147" i="1" l="1"/>
  <c r="J144" i="1"/>
  <c r="K151" i="1"/>
  <c r="K148" i="1"/>
  <c r="O148" i="1"/>
  <c r="O144" i="1" s="1"/>
  <c r="G144" i="1"/>
  <c r="K21" i="1"/>
  <c r="O25" i="1"/>
  <c r="O21" i="1" s="1"/>
  <c r="I148" i="1"/>
  <c r="I21" i="1"/>
  <c r="I151" i="1"/>
  <c r="O151" i="1"/>
  <c r="L29" i="1"/>
  <c r="H29" i="1"/>
  <c r="G29" i="1"/>
  <c r="J29" i="1"/>
  <c r="M29" i="1"/>
  <c r="N29" i="1"/>
  <c r="F29" i="1"/>
  <c r="I33" i="1"/>
  <c r="I32" i="1"/>
  <c r="K33" i="1"/>
  <c r="K32" i="1"/>
  <c r="K144" i="1" l="1"/>
  <c r="O29" i="1"/>
  <c r="K29" i="1"/>
  <c r="I29" i="1"/>
  <c r="O173" i="1" l="1"/>
  <c r="G170" i="1"/>
  <c r="H170" i="1"/>
  <c r="L170" i="1"/>
  <c r="M170" i="1"/>
  <c r="N170" i="1"/>
  <c r="F170" i="1"/>
  <c r="K173" i="1"/>
  <c r="K172" i="1"/>
  <c r="I172" i="1"/>
  <c r="I173" i="1"/>
  <c r="J55" i="1"/>
  <c r="K170" i="1" l="1"/>
  <c r="I170" i="1"/>
  <c r="O170" i="1"/>
  <c r="O178" i="1"/>
  <c r="G177" i="1"/>
  <c r="O177" i="1" s="1"/>
  <c r="H177" i="1"/>
  <c r="J177" i="1"/>
  <c r="M177" i="1"/>
  <c r="N177" i="1"/>
  <c r="F177" i="1"/>
  <c r="K179" i="1"/>
  <c r="I179" i="1"/>
  <c r="I147" i="1" l="1"/>
  <c r="H144" i="1"/>
  <c r="I144" i="1" s="1"/>
  <c r="K177" i="1"/>
  <c r="I177" i="1"/>
  <c r="K81" i="1"/>
  <c r="M139" i="1"/>
  <c r="N139" i="1" s="1"/>
  <c r="K139" i="1"/>
  <c r="I139" i="1"/>
  <c r="J138" i="1"/>
  <c r="H138" i="1"/>
  <c r="G138" i="1"/>
  <c r="F138" i="1"/>
  <c r="M134" i="1"/>
  <c r="K134" i="1"/>
  <c r="H134" i="1"/>
  <c r="H110" i="1" s="1"/>
  <c r="H68" i="1" s="1"/>
  <c r="H11" i="1" s="1"/>
  <c r="M133" i="1"/>
  <c r="K133" i="1"/>
  <c r="H133" i="1"/>
  <c r="H109" i="1" s="1"/>
  <c r="G132" i="1"/>
  <c r="F132" i="1"/>
  <c r="M127" i="1"/>
  <c r="N127" i="1" s="1"/>
  <c r="K127" i="1"/>
  <c r="I127" i="1"/>
  <c r="J126" i="1"/>
  <c r="H126" i="1"/>
  <c r="G126" i="1"/>
  <c r="F126" i="1"/>
  <c r="M122" i="1"/>
  <c r="K122" i="1"/>
  <c r="I122" i="1"/>
  <c r="J120" i="1"/>
  <c r="H120" i="1"/>
  <c r="G120" i="1"/>
  <c r="F120" i="1"/>
  <c r="N119" i="1"/>
  <c r="N118" i="1"/>
  <c r="M117" i="1"/>
  <c r="K117" i="1"/>
  <c r="I117" i="1"/>
  <c r="M116" i="1"/>
  <c r="K116" i="1"/>
  <c r="I116" i="1"/>
  <c r="M115" i="1"/>
  <c r="K115" i="1"/>
  <c r="I115" i="1"/>
  <c r="J114" i="1"/>
  <c r="H114" i="1"/>
  <c r="G114" i="1"/>
  <c r="F114" i="1"/>
  <c r="H113" i="1"/>
  <c r="G113" i="1"/>
  <c r="F113" i="1"/>
  <c r="H112" i="1"/>
  <c r="G112" i="1"/>
  <c r="F112" i="1"/>
  <c r="J111" i="1"/>
  <c r="H111" i="1"/>
  <c r="G111" i="1"/>
  <c r="O111" i="1" s="1"/>
  <c r="F111" i="1"/>
  <c r="J110" i="1"/>
  <c r="G110" i="1"/>
  <c r="O110" i="1" s="1"/>
  <c r="F110" i="1"/>
  <c r="J109" i="1"/>
  <c r="G109" i="1"/>
  <c r="O109" i="1" s="1"/>
  <c r="F109" i="1"/>
  <c r="M105" i="1"/>
  <c r="K105" i="1"/>
  <c r="M104" i="1"/>
  <c r="K104" i="1"/>
  <c r="I104" i="1"/>
  <c r="J102" i="1"/>
  <c r="G102" i="1"/>
  <c r="F102" i="1"/>
  <c r="M100" i="1"/>
  <c r="N100" i="1" s="1"/>
  <c r="K100" i="1"/>
  <c r="I100" i="1"/>
  <c r="M99" i="1"/>
  <c r="K99" i="1"/>
  <c r="M98" i="1"/>
  <c r="K98" i="1"/>
  <c r="I98" i="1"/>
  <c r="G96" i="1"/>
  <c r="F96" i="1"/>
  <c r="H95" i="1"/>
  <c r="H77" i="1" s="1"/>
  <c r="G95" i="1"/>
  <c r="G77" i="1" s="1"/>
  <c r="F95" i="1"/>
  <c r="F77" i="1" s="1"/>
  <c r="J94" i="1"/>
  <c r="J76" i="1" s="1"/>
  <c r="H94" i="1"/>
  <c r="H76" i="1" s="1"/>
  <c r="G94" i="1"/>
  <c r="F94" i="1"/>
  <c r="F76" i="1" s="1"/>
  <c r="J93" i="1"/>
  <c r="J75" i="1" s="1"/>
  <c r="G93" i="1"/>
  <c r="O93" i="1" s="1"/>
  <c r="F93" i="1"/>
  <c r="F75" i="1" s="1"/>
  <c r="G92" i="1"/>
  <c r="F92" i="1"/>
  <c r="F74" i="1" s="1"/>
  <c r="H91" i="1"/>
  <c r="H73" i="1" s="1"/>
  <c r="G91" i="1"/>
  <c r="F91" i="1"/>
  <c r="F73" i="1" s="1"/>
  <c r="M86" i="1"/>
  <c r="K86" i="1"/>
  <c r="I86" i="1"/>
  <c r="F84" i="1"/>
  <c r="M81" i="1"/>
  <c r="N81" i="1" s="1"/>
  <c r="M80" i="1"/>
  <c r="K80" i="1"/>
  <c r="I80" i="1"/>
  <c r="J78" i="1"/>
  <c r="H78" i="1"/>
  <c r="G78" i="1"/>
  <c r="F78" i="1"/>
  <c r="F67" i="1" l="1"/>
  <c r="H108" i="1"/>
  <c r="O108" i="1"/>
  <c r="G74" i="1"/>
  <c r="O74" i="1" s="1"/>
  <c r="O92" i="1"/>
  <c r="K87" i="1"/>
  <c r="O84" i="1"/>
  <c r="G73" i="1"/>
  <c r="O91" i="1"/>
  <c r="G76" i="1"/>
  <c r="I76" i="1" s="1"/>
  <c r="O94" i="1"/>
  <c r="F68" i="1"/>
  <c r="F11" i="1" s="1"/>
  <c r="F70" i="1"/>
  <c r="F13" i="1" s="1"/>
  <c r="M138" i="1"/>
  <c r="G71" i="1"/>
  <c r="G14" i="1" s="1"/>
  <c r="K14" i="1" s="1"/>
  <c r="H70" i="1"/>
  <c r="H13" i="1" s="1"/>
  <c r="J69" i="1"/>
  <c r="J12" i="1" s="1"/>
  <c r="F69" i="1"/>
  <c r="F12" i="1" s="1"/>
  <c r="J74" i="1"/>
  <c r="I114" i="1"/>
  <c r="M114" i="1"/>
  <c r="M109" i="1"/>
  <c r="M92" i="1"/>
  <c r="M74" i="1" s="1"/>
  <c r="F108" i="1"/>
  <c r="I126" i="1"/>
  <c r="M94" i="1"/>
  <c r="M76" i="1" s="1"/>
  <c r="M70" i="1" s="1"/>
  <c r="M13" i="1" s="1"/>
  <c r="M93" i="1"/>
  <c r="N93" i="1" s="1"/>
  <c r="M102" i="1"/>
  <c r="I109" i="1"/>
  <c r="J70" i="1"/>
  <c r="J13" i="1" s="1"/>
  <c r="J96" i="1"/>
  <c r="K96" i="1" s="1"/>
  <c r="G84" i="1"/>
  <c r="K84" i="1" s="1"/>
  <c r="I87" i="1"/>
  <c r="H71" i="1"/>
  <c r="H14" i="1" s="1"/>
  <c r="K111" i="1"/>
  <c r="I92" i="1"/>
  <c r="M96" i="1"/>
  <c r="N96" i="1" s="1"/>
  <c r="J108" i="1"/>
  <c r="H67" i="1"/>
  <c r="F72" i="1"/>
  <c r="H96" i="1"/>
  <c r="I96" i="1" s="1"/>
  <c r="M110" i="1"/>
  <c r="N110" i="1" s="1"/>
  <c r="M120" i="1"/>
  <c r="F71" i="1"/>
  <c r="F14" i="1" s="1"/>
  <c r="J67" i="1"/>
  <c r="I94" i="1"/>
  <c r="M111" i="1"/>
  <c r="H84" i="1"/>
  <c r="G90" i="1"/>
  <c r="G75" i="1"/>
  <c r="I78" i="1"/>
  <c r="F90" i="1"/>
  <c r="H93" i="1"/>
  <c r="H75" i="1" s="1"/>
  <c r="H102" i="1"/>
  <c r="I102" i="1" s="1"/>
  <c r="G108" i="1"/>
  <c r="H132" i="1"/>
  <c r="I132" i="1" s="1"/>
  <c r="I138" i="1"/>
  <c r="N115" i="1"/>
  <c r="K102" i="1"/>
  <c r="K110" i="1"/>
  <c r="I111" i="1"/>
  <c r="F10" i="1"/>
  <c r="M78" i="1"/>
  <c r="K94" i="1"/>
  <c r="K114" i="1"/>
  <c r="M132" i="1"/>
  <c r="K109" i="1"/>
  <c r="I120" i="1"/>
  <c r="M126" i="1"/>
  <c r="I133" i="1"/>
  <c r="N133" i="1"/>
  <c r="I134" i="1"/>
  <c r="N134" i="1"/>
  <c r="N80" i="1"/>
  <c r="M87" i="1"/>
  <c r="N87" i="1" s="1"/>
  <c r="K93" i="1"/>
  <c r="I99" i="1"/>
  <c r="N99" i="1"/>
  <c r="I105" i="1"/>
  <c r="N105" i="1"/>
  <c r="N116" i="1"/>
  <c r="N122" i="1"/>
  <c r="K78" i="1"/>
  <c r="N86" i="1"/>
  <c r="N98" i="1"/>
  <c r="N104" i="1"/>
  <c r="N117" i="1"/>
  <c r="K120" i="1"/>
  <c r="K126" i="1"/>
  <c r="K132" i="1"/>
  <c r="K138" i="1"/>
  <c r="O68" i="1" l="1"/>
  <c r="O75" i="1"/>
  <c r="O69" i="1" s="1"/>
  <c r="G68" i="1"/>
  <c r="G11" i="1" s="1"/>
  <c r="K74" i="1"/>
  <c r="O90" i="1"/>
  <c r="G70" i="1"/>
  <c r="G13" i="1" s="1"/>
  <c r="K13" i="1" s="1"/>
  <c r="K76" i="1"/>
  <c r="G67" i="1"/>
  <c r="G10" i="1" s="1"/>
  <c r="O73" i="1"/>
  <c r="O67" i="1" s="1"/>
  <c r="N109" i="1"/>
  <c r="N67" i="1" s="1"/>
  <c r="N10" i="1" s="1"/>
  <c r="N138" i="1"/>
  <c r="F9" i="1"/>
  <c r="I84" i="1"/>
  <c r="I14" i="1"/>
  <c r="M67" i="1"/>
  <c r="M10" i="1" s="1"/>
  <c r="N102" i="1"/>
  <c r="I110" i="1"/>
  <c r="J90" i="1"/>
  <c r="K90" i="1" s="1"/>
  <c r="M90" i="1"/>
  <c r="N90" i="1" s="1"/>
  <c r="N94" i="1"/>
  <c r="N76" i="1" s="1"/>
  <c r="N70" i="1" s="1"/>
  <c r="N13" i="1" s="1"/>
  <c r="J68" i="1"/>
  <c r="J11" i="1" s="1"/>
  <c r="K92" i="1"/>
  <c r="L13" i="1"/>
  <c r="J72" i="1"/>
  <c r="N92" i="1"/>
  <c r="N74" i="1" s="1"/>
  <c r="N68" i="1" s="1"/>
  <c r="N11" i="1" s="1"/>
  <c r="J10" i="1"/>
  <c r="H10" i="1"/>
  <c r="N114" i="1"/>
  <c r="F63" i="1"/>
  <c r="K108" i="1"/>
  <c r="N120" i="1"/>
  <c r="I108" i="1"/>
  <c r="L10" i="1"/>
  <c r="N75" i="1"/>
  <c r="N111" i="1"/>
  <c r="M68" i="1"/>
  <c r="O13" i="1"/>
  <c r="I75" i="1"/>
  <c r="H69" i="1"/>
  <c r="H12" i="1" s="1"/>
  <c r="K75" i="1"/>
  <c r="G69" i="1"/>
  <c r="I74" i="1"/>
  <c r="I93" i="1"/>
  <c r="H90" i="1"/>
  <c r="I90" i="1" s="1"/>
  <c r="G72" i="1"/>
  <c r="H72" i="1"/>
  <c r="N132" i="1"/>
  <c r="M108" i="1"/>
  <c r="N78" i="1"/>
  <c r="N126" i="1"/>
  <c r="M75" i="1"/>
  <c r="M84" i="1"/>
  <c r="O72" i="1" l="1"/>
  <c r="O63" i="1"/>
  <c r="I70" i="1"/>
  <c r="K11" i="1"/>
  <c r="I68" i="1"/>
  <c r="K70" i="1"/>
  <c r="I67" i="1"/>
  <c r="I10" i="1"/>
  <c r="K10" i="1"/>
  <c r="K67" i="1"/>
  <c r="K72" i="1"/>
  <c r="I13" i="1"/>
  <c r="J63" i="1"/>
  <c r="K68" i="1"/>
  <c r="J9" i="1"/>
  <c r="K69" i="1"/>
  <c r="G12" i="1"/>
  <c r="M11" i="1"/>
  <c r="L11" i="1"/>
  <c r="N69" i="1"/>
  <c r="G63" i="1"/>
  <c r="I72" i="1"/>
  <c r="N108" i="1"/>
  <c r="H63" i="1"/>
  <c r="L12" i="1"/>
  <c r="I69" i="1"/>
  <c r="M69" i="1"/>
  <c r="M12" i="1" s="1"/>
  <c r="M72" i="1"/>
  <c r="N84" i="1"/>
  <c r="H9" i="1" l="1"/>
  <c r="I11" i="1"/>
  <c r="G9" i="1"/>
  <c r="K9" i="1" s="1"/>
  <c r="K12" i="1"/>
  <c r="I12" i="1"/>
  <c r="L9" i="1"/>
  <c r="N63" i="1"/>
  <c r="N12" i="1"/>
  <c r="N9" i="1" s="1"/>
  <c r="M9" i="1"/>
  <c r="N72" i="1"/>
  <c r="M63" i="1"/>
  <c r="I9" i="1" l="1"/>
  <c r="O58" i="1"/>
  <c r="O12" i="1" s="1"/>
  <c r="O56" i="1"/>
  <c r="O10" i="1" s="1"/>
  <c r="K58" i="1"/>
  <c r="K57" i="1"/>
  <c r="I58" i="1"/>
  <c r="I57" i="1"/>
  <c r="I56" i="1"/>
  <c r="N55" i="1"/>
  <c r="M55" i="1"/>
  <c r="H55" i="1"/>
  <c r="F55" i="1"/>
  <c r="K17" i="1"/>
  <c r="N15" i="1"/>
  <c r="M15" i="1"/>
  <c r="L15" i="1"/>
  <c r="J15" i="1"/>
  <c r="G15" i="1"/>
  <c r="H15" i="1"/>
  <c r="F15" i="1"/>
  <c r="O17" i="1"/>
  <c r="I17" i="1"/>
  <c r="O55" i="1" l="1"/>
  <c r="O15" i="1"/>
  <c r="O11" i="1"/>
  <c r="O9" i="1" s="1"/>
  <c r="I15" i="1"/>
  <c r="K15" i="1"/>
  <c r="K55" i="1"/>
  <c r="I55" i="1"/>
  <c r="C10" i="1" l="1"/>
  <c r="D10" i="1"/>
  <c r="E10" i="1"/>
  <c r="C20" i="1"/>
  <c r="D20" i="1"/>
  <c r="E20" i="1"/>
  <c r="C13" i="1"/>
  <c r="D13" i="1"/>
  <c r="E13" i="1"/>
  <c r="C14" i="1"/>
  <c r="D14" i="1"/>
  <c r="E14" i="1"/>
  <c r="C26" i="1"/>
  <c r="C21" i="1" s="1"/>
  <c r="D26" i="1"/>
  <c r="D21" i="1" s="1"/>
  <c r="E26" i="1"/>
  <c r="E21" i="1" s="1"/>
  <c r="C27" i="1"/>
  <c r="D27" i="1"/>
  <c r="E27" i="1"/>
  <c r="C31" i="1"/>
  <c r="C29" i="1" s="1"/>
  <c r="D31" i="1"/>
  <c r="D29" i="1" s="1"/>
  <c r="E31" i="1"/>
  <c r="E29" i="1" s="1"/>
  <c r="C35" i="1"/>
  <c r="D35" i="1"/>
  <c r="E35" i="1"/>
  <c r="C36" i="1"/>
  <c r="D36" i="1"/>
  <c r="E36" i="1"/>
  <c r="C38" i="1"/>
  <c r="E38" i="1"/>
  <c r="C41" i="1"/>
  <c r="D41" i="1"/>
  <c r="E41" i="1"/>
  <c r="C42" i="1"/>
  <c r="D42" i="1"/>
  <c r="E42" i="1"/>
  <c r="D44" i="1"/>
  <c r="C44" i="1"/>
  <c r="C55" i="1"/>
  <c r="D55" i="1"/>
  <c r="E55" i="1"/>
  <c r="C61" i="1"/>
  <c r="D61" i="1"/>
  <c r="E61" i="1"/>
  <c r="C62" i="1"/>
  <c r="D62" i="1"/>
  <c r="E62" i="1"/>
  <c r="C144" i="1"/>
  <c r="D144" i="1"/>
  <c r="E144" i="1"/>
  <c r="C173" i="1"/>
  <c r="C170" i="1" s="1"/>
  <c r="D173" i="1"/>
  <c r="D170" i="1" s="1"/>
  <c r="E173" i="1"/>
  <c r="C176" i="1"/>
  <c r="D176" i="1"/>
  <c r="E176" i="1"/>
  <c r="C178" i="1"/>
  <c r="D178" i="1"/>
  <c r="E178" i="1"/>
  <c r="C182" i="1"/>
  <c r="D182" i="1"/>
  <c r="E182" i="1"/>
  <c r="C183" i="1"/>
  <c r="D183" i="1"/>
  <c r="E183" i="1"/>
  <c r="C185" i="1"/>
  <c r="C184" i="1" s="1"/>
  <c r="D185" i="1"/>
  <c r="D184" i="1" s="1"/>
  <c r="E185" i="1"/>
  <c r="E184" i="1" s="1"/>
  <c r="C192" i="1"/>
  <c r="D192" i="1"/>
  <c r="E192" i="1"/>
  <c r="C193" i="1"/>
  <c r="D193" i="1"/>
  <c r="E193" i="1"/>
  <c r="C194" i="1"/>
  <c r="D194" i="1"/>
  <c r="E194" i="1"/>
  <c r="C15" i="1" l="1"/>
  <c r="D49" i="1"/>
  <c r="C177" i="1"/>
  <c r="E177" i="1"/>
  <c r="D177" i="1"/>
  <c r="D15" i="1"/>
  <c r="C11" i="1"/>
  <c r="C9" i="1" s="1"/>
  <c r="C43" i="1"/>
  <c r="C49" i="1"/>
  <c r="C37" i="1"/>
  <c r="E44" i="1"/>
  <c r="D11" i="1"/>
  <c r="D9" i="1" s="1"/>
  <c r="E37" i="1"/>
  <c r="D43" i="1"/>
  <c r="D38" i="1"/>
  <c r="D37" i="1" s="1"/>
  <c r="D12" i="1"/>
  <c r="C12" i="1"/>
  <c r="E12" i="1"/>
  <c r="E15" i="1"/>
  <c r="E49" i="1" l="1"/>
  <c r="E11" i="1"/>
  <c r="E9" i="1" s="1"/>
  <c r="E43" i="1"/>
</calcChain>
</file>

<file path=xl/comments1.xml><?xml version="1.0" encoding="utf-8"?>
<comments xmlns="http://schemas.openxmlformats.org/spreadsheetml/2006/main">
  <authors>
    <author>Вершинина Мария Игоревна</author>
  </authors>
  <commentList>
    <comment ref="B120"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<sst xmlns="http://schemas.openxmlformats.org/spreadsheetml/2006/main" count="270" uniqueCount="130">
  <si>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</si>
  <si>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</si>
  <si>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</si>
  <si>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</si>
  <si>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</si>
  <si>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</si>
  <si>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</si>
  <si>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</si>
  <si>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</si>
  <si>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</si>
  <si>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</si>
  <si>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</si>
  <si>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</si>
  <si>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</si>
  <si>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</si>
  <si>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</si>
  <si>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</si>
  <si>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</si>
  <si>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</si>
  <si>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</si>
  <si>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</si>
  <si>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</si>
  <si>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</si>
  <si>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</si>
  <si>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</si>
  <si>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</si>
  <si>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</si>
  <si>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</si>
  <si>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</si>
  <si>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</si>
  <si>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</si>
  <si>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</si>
  <si>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</si>
  <si>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</si>
  <si>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</si>
  <si>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</si>
  <si>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</si>
  <si>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</si>
  <si>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</si>
  <si>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</si>
  <si>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</si>
  <si>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25.</t>
  </si>
  <si>
    <t xml:space="preserve">Утвержденный план 
на 2016 год </t>
  </si>
  <si>
    <t xml:space="preserve">Уточненный план 
на 2016 год </t>
  </si>
  <si>
    <t>Ожидаемое исполнение на 01.01.2017</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</si>
  <si>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</si>
  <si>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</si>
  <si>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</si>
  <si>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</si>
  <si>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</si>
  <si>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</si>
  <si>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</si>
  <si>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</si>
  <si>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</si>
  <si>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</si>
  <si>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</si>
  <si>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</si>
  <si>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</si>
  <si>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</si>
  <si>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</si>
  <si>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</si>
  <si>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</si>
  <si>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</si>
  <si>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</si>
  <si>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</si>
  <si>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</si>
  <si>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</si>
  <si>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</si>
  <si>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</si>
  <si>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</si>
  <si>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</si>
  <si>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федеральный бюджет (доп.ФК 5101)</t>
  </si>
  <si>
    <t>11.1.</t>
  </si>
  <si>
    <t>11.1.1.</t>
  </si>
  <si>
    <t>11.1.2.</t>
  </si>
  <si>
    <t>11.1.3.</t>
  </si>
  <si>
    <t>11.1.3.1.</t>
  </si>
  <si>
    <t>11.1.4.</t>
  </si>
  <si>
    <t>11.2.</t>
  </si>
  <si>
    <t>11.2.1.</t>
  </si>
  <si>
    <t>11.2.2.</t>
  </si>
  <si>
    <t>11.2.3.</t>
  </si>
  <si>
    <t>11.2.4.</t>
  </si>
  <si>
    <t>11.2.5.</t>
  </si>
  <si>
    <t xml:space="preserve">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</si>
  <si>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</si>
  <si>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</si>
  <si>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</si>
  <si>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Пояснения, ожидаемые результаты, планируемые сроки выполнения работ, оказания услуг, причины неисполнения и так далее</t>
  </si>
  <si>
    <t xml:space="preserve">                                                                                                                                                                             </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</si>
  <si>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99 тыс.р., сроком действия до 30.03.2017г. По условиям контрактов произведен авансовый платеж в размере 78% стоимости контрактов.   Дополнительная потребность составляет 260 млн. рублей, в том числе средства окружного бюджета 235 млн. рублей. Обращение в ДФ ХМАО направлено.                           </t>
  </si>
  <si>
    <t xml:space="preserve">бюджет ХМАО - Югры </t>
  </si>
  <si>
    <t xml:space="preserve">бюджет ХМАО-Югры </t>
  </si>
  <si>
    <t xml:space="preserve">федеральный бюджет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</si>
  <si>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</si>
  <si>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</si>
  <si>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"Развитие здравоохранения  на 2016-2020 годы" 
</t>
    </r>
    <r>
      <rPr>
        <sz val="20"/>
        <color theme="1"/>
        <rFont val="Times New Roman"/>
        <family val="1"/>
        <charset val="204"/>
      </rPr>
      <t>(Субсидия на строительство и реконструкцию объектов здравоохранения)</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</si>
  <si>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</si>
  <si>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</si>
  <si>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</si>
  <si>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</si>
  <si>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</si>
  <si>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t>Работы по строительству и ремонту дорог осуществляются в соответствии с условиями заключенных контрактов</t>
  </si>
  <si>
    <r>
      <rPr>
        <u/>
        <sz val="20"/>
        <color theme="1"/>
        <rFont val="Times New Roman"/>
        <family val="1"/>
        <charset val="204"/>
      </rPr>
      <t>ДГХ:</t>
    </r>
    <r>
      <rPr>
        <sz val="20"/>
        <color theme="1"/>
        <rFont val="Times New Roman"/>
        <family val="2"/>
        <charset val="204"/>
      </rPr>
      <t xml:space="preserve"> Ожидаемое неисполнение - 3 391,46 тыс.руб. - экономия по факту выполненных работ, по итогам проведения конкурсов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№31 "Снегирек";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</si>
  <si>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t>Обеспечение жильем граждан, уволенных с военной службы и приравненных к ним лиц ()</t>
  </si>
  <si>
    <t>Отсутствует потребность в данных средствах по причине отсутствия лиц, уволенных с военной службы, нуждающихся в улучшении жилищных условий.</t>
  </si>
  <si>
    <t>Заключены договоры на приобретение конвертов и бумаги для направления участникам программы извещений. Бюджетные ассигнования использованы.</t>
  </si>
  <si>
    <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
УБУиО (ДК): Реализация программы  осуществляется в плановом режиме.  Бюджетные ассигнования будут использованы в полном объеме до конца 2016 года.</t>
    </r>
  </si>
  <si>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20"/>
        <color theme="1"/>
        <rFont val="Times New Roman"/>
        <family val="1"/>
        <charset val="204"/>
      </rPr>
      <t xml:space="preserve">1. Субсидии на мероприятия подпрограммы "Обеспечение жильем молодых семей" федеральной целевой программы "Жилище" на 2011-2020 годы.
2. Субсидии на реализацию полномочий в области строительства, градостроительной деятельности и жилищных отношений (остаток средств).
3. Субсидии на создание наемных домов социального использования (остаток средств).
4.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5.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6. Субсидии на проектирование и строительство объектов инженерной инфраструктуры на территориях, предназначенных для жилищного строительства.
7. Субсидии на реализацию полномочий в области строительства, градостроительной деятельности и жилищных отношений.
8. Субсидии на мероприятия подпрограммы "Обеспечение жильем молодых семей" федеральной целевой программы "Жилище" на 2015–2020 годы.
9. Субсидии на реализацию мероприятия подпрограммы "Обеспечение жильем молодых семей" федеральной целевой программы "Жилище" на 2015-2020 годы
10. Обеспечение жильем граждан, уволенных с военной службы (службы), и приравненных к ним лиц.
11.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12.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13. Субсидии на реализацию мероприятия подпрограммы "Обеспечение жильем молодых семей" федеральной целевой программы "Жилище" на 2015-2020 годы.
 </t>
    </r>
  </si>
  <si>
    <t>Информация о реализации государственных программ Ханты-Мансийского автономного округа - Югры
на территории городского округа город Сургут на 01.10.2016 года</t>
  </si>
  <si>
    <t>на 01.10.2016</t>
  </si>
  <si>
    <t xml:space="preserve">ДО, УБУиО(ДК):Реализация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УПиЭ: Для выполнение мероприятия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зелёного хозяйства с периодом участия - 2 месяца. 50,91 тыс.руб. - денежные средства не будут освоены , т.к. направляемые безработные граждане для трудоустройства в учреждение не обращались. Договор расторгнут 16.08.2016. </t>
  </si>
  <si>
    <t>Заключены муниципальные контракты на приобретение: 24 кв.- 2-х комнатных (84 737,95 руб., 1 611,1 м2); 42 кв. - 1 комнатных (95 111,13 руб, 1 807,8 м2). Произведена оплата 30% стоимости жилых помещений. 
Акты приема-передачи жилых помещений в стадии подписаны, получены выписки из ЕГРП. Окончательный расчет будет произведен в октябре 2016 года. Подготовлена аукционная документация на приобретение 42 жилых помещений (15 кв.-2-х комнатных; 26 кв.-1 комнатных; 1 кв.- 4-х комнатной) на сумму 117857,38 тыс.руб. Заявки на 15 кв.-2-х комнатных; 26 кв.-1 комнатных размещены. Подведение итогов аукционов -24.10.2016 года. Заявка на приобретение 1 кв. 4-х комнатной  будет размещена в октябре.</t>
  </si>
  <si>
    <t xml:space="preserve">По состоянию на 01.10.2016 участниками данной подпрограммы числятся 56 молодых семей.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01.10.2016 социальная выплата согласно заявок банка предоставлена (перечислена) 7 молодым семьям, в том числе участнику 2015 года и 6 участникам 2016 года. До конца года планируется освоить средства федерального и окружного бюджетов в полном объеме.   
</t>
  </si>
  <si>
    <t xml:space="preserve">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2 268,31 тыс.руб). Жилое помещение приобретено.
</t>
  </si>
  <si>
    <t xml:space="preserve">Работы выполняются согласно заключенному муниципальному контракту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41,9 %. 
В связи с  необходимостью корректировки видов работ, предусмотренных протоколом договорной цены планируется расторжение МК № 03/2015 от 19.05.2015 г. </t>
  </si>
  <si>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</si>
  <si>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</si>
  <si>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по причине снижения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2) экономия по результатам заключения договоров на предоставление доступа к сети Интернет по более низкому тарифу, подлежащая возврату в бюджет автономного округа.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На выполнение ПИР по объекту "Средняя общеобразовательная школа в микрорайоне 32 г.Сургута". Ориентировочный срок заключения контракта -декабрь 2016 года
2.2. На выполнение ПИР по объекту "Средняя общеобразовательная школа в микрорайоне 33 г.Сургута".  Ориентировочный срок заключения контракта - октябрь 2016 года. Учитывая сроки проведения закупки, средства по данным объектам в 2016 году не будут освоены.
</t>
    </r>
  </si>
  <si>
    <r>
      <rPr>
        <u/>
        <sz val="20"/>
        <color theme="1"/>
        <rFont val="Times New Roman"/>
        <family val="1"/>
        <charset val="204"/>
      </rPr>
      <t xml:space="preserve">АГ: </t>
    </r>
    <r>
      <rPr>
        <sz val="20"/>
        <color theme="1"/>
        <rFont val="Times New Roman"/>
        <family val="2"/>
        <charset val="204"/>
      </rPr>
      <t>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УБУиО(</t>
    </r>
    <r>
      <rPr>
        <u/>
        <sz val="20"/>
        <color theme="1"/>
        <rFont val="Times New Roman"/>
        <family val="1"/>
        <charset val="204"/>
      </rPr>
      <t>ДК):</t>
    </r>
    <r>
      <rPr>
        <sz val="20"/>
        <color theme="1"/>
        <rFont val="Times New Roman"/>
        <family val="1"/>
        <charset val="204"/>
      </rPr>
      <t xml:space="preserve">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1"/>
        <charset val="204"/>
      </rPr>
      <t>Работы по объекту "Детская школа искусств, мкр. ПИКС" выполняются в соответствии с заключенным муниципальным контрактом с ООО "Сибвитосервис" №18/2014 от 04.10.14 г.  Сумма по контракту - 323 245,6 тыс. руб.  Заключены 17 муниципальных контрактов для комплектации и ввода в эксплуатацию объекта (поставка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37 563,56 тыс.руб. Готовность объекта -100 %. Объект введен в эксплуатацию - 25.08.2016 года. В ходе строительства объекта возникла необходимость в выполнении дополнительных работ, не предусмотренных ПСД, но обязательных для сдачи объекта. Стоимость дополнительных работ - 18 827,49 тыс.рублей. Получено заключение о достоверности стоимости строительства на дополнительный объем работ. В пределах срока действия контракта в следующем отчетном периоде будут приняты и оплачены выполненные работы по завершению строительства объекта.</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</si>
  <si>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</si>
  <si>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Экономия в размере 238,37 тыс.руб. планируется к снятию на очередном заседании Думы города.                                                                                                                                                                             
</t>
    </r>
    <r>
      <rPr>
        <u/>
        <sz val="20"/>
        <color theme="1"/>
        <rFont val="Times New Roman"/>
        <family val="1"/>
        <charset val="204"/>
      </rPr>
      <t xml:space="preserve">УПиЭ: </t>
    </r>
    <r>
      <rPr>
        <sz val="20"/>
        <color theme="1"/>
        <rFont val="Times New Roman"/>
        <family val="1"/>
        <charset val="204"/>
      </rPr>
      <t>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мкр"( 211,71тыс.руб.- средства местного бюджета)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</si>
  <si>
    <r>
      <t xml:space="preserve">Объект  "Поликлиника "Нефтяник" на 700 пос. в смену в мкр. 37"  введен в эксплуатацию 16.09.2016. По заключенным в 2016году контрактам оборудование поставлено полностью. За оборудование принятое в конце сентября средства окружного бюджета в размере 1 734,83796 тыс. руб. будут оплачены в октябре 2016 года.
</t>
    </r>
    <r>
      <rPr>
        <sz val="20"/>
        <color theme="1"/>
        <rFont val="Times New Roman"/>
        <family val="1"/>
        <charset val="204"/>
      </rPr>
      <t>Дата проведения аукциона на поставку металлической мебели на сумму 2 395,30666 тыс. руб - 26.09.2016 г. Ориентировочный срок заключения контракта - 10.10.2016 г.  Закупка медицинского оборудования на сумму 1059,042 тыс. руб. в стадии согласования. Планируется заключение МК (до 100т.р.) на поставку кресел с табуретом для галокамеры на сумму 98,220 тыс. руб. Срок поставки - октябрь 2016 г.</t>
    </r>
    <r>
      <rPr>
        <sz val="20"/>
        <color rgb="FFFF0000"/>
        <rFont val="Times New Roman"/>
        <family val="1"/>
        <charset val="204"/>
      </rPr>
      <t xml:space="preserve">
</t>
    </r>
    <r>
      <rPr>
        <sz val="20"/>
        <rFont val="Times New Roman"/>
        <family val="1"/>
        <charset val="204"/>
      </rPr>
      <t xml:space="preserve">По состоянию на 01.10.2016 г. сложилась экономия по итогам проведения аукционов на поставку оборудования в сумме - 4191,75187 тыс. руб.
</t>
    </r>
    <r>
      <rPr>
        <sz val="20"/>
        <color theme="1"/>
        <rFont val="Times New Roman"/>
        <family val="2"/>
        <charset val="204"/>
      </rPr>
      <t xml:space="preserve">
</t>
    </r>
  </si>
  <si>
    <r>
      <rPr>
        <u/>
        <sz val="20"/>
        <rFont val="Times New Roman"/>
        <family val="1"/>
        <charset val="204"/>
      </rPr>
      <t>АГ:</t>
    </r>
    <r>
      <rPr>
        <sz val="20"/>
        <rFont val="Times New Roman"/>
        <family val="2"/>
        <charset val="204"/>
      </rPr>
      <t xml:space="preserve">
В  соответствии с законом Ханты-Мансийского автономного округа–Югры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округа–Югры на подготовку проведения Всероссийской сельскохозяйственной переписи»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01.10.2016 заключены договоры на предоставление:
- транспортных услуг. Договор исполнен в полном объеме;
- услуг связи. Фактические затраты на данные услуги сложились ниже запланированных, в связи с чем подписано соглашение о расторжении договора. Оплата произведена  по факту выполненных работ.                                                            
</t>
    </r>
    <r>
      <rPr>
        <u/>
        <sz val="20"/>
        <rFont val="Times New Roman"/>
        <family val="1"/>
        <charset val="204"/>
      </rPr>
      <t>ДГХ:</t>
    </r>
    <r>
      <rPr>
        <sz val="20"/>
        <rFont val="Times New Roman"/>
        <family val="2"/>
        <charset val="204"/>
      </rPr>
      <t xml:space="preserve"> 
Планируется отловить и утилизировать 2 200 безнадзорных животных. По состоянию на 01.10.2016 утилизировано 1 546 безнадзорное животное. Ожидаемое неисполнение 1623,04 тыс.руб. - экономия по результатам фактического исполнения за 1 полугодие 2016 года, планируется внесение изменений в соглашение, экономия в сумме 1 214,70 тыс.руб. будет снята на очередном заседании Думы города.
</t>
    </r>
    <r>
      <rPr>
        <u/>
        <sz val="20"/>
        <rFont val="Times New Roman"/>
        <family val="1"/>
        <charset val="204"/>
      </rPr>
      <t>КУИ:</t>
    </r>
    <r>
      <rPr>
        <sz val="20"/>
        <rFont val="Times New Roman"/>
        <family val="2"/>
        <charset val="204"/>
      </rPr>
      <t xml:space="preserve">
За период январь-август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  В связи с отсутствием заявителей средства в размере 478,6тыс.руб. не будет использованы. </t>
    </r>
  </si>
  <si>
    <r>
      <rPr>
        <u/>
        <sz val="20"/>
        <rFont val="Times New Roman"/>
        <family val="1"/>
        <charset val="204"/>
      </rPr>
      <t>АГ:</t>
    </r>
    <r>
      <rPr>
        <sz val="20"/>
        <rFont val="Times New Roman"/>
        <family val="1"/>
        <charset val="204"/>
      </rPr>
      <t xml:space="preserve"> 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Заключены договоры на приобретение форменной одежды и удостоверений, выплачено материальное стимулирование народным дружинникам по итогам 1 полугодия 2016 года. Бюджетные ассигнования будут использованы в полном объеме до конца 2016 года.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копировально-множительной техники и конвертального оборудования АПК "Безопасный город" и услуги по приему, обработке и доставке заказных писем с уведомлением.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 запланированы расходы на услуги почтовой связи и поставку конвертов.
Данные средства освоены в полном объеме.                 </t>
    </r>
    <r>
      <rPr>
        <sz val="20"/>
        <color rgb="FFFF0000"/>
        <rFont val="Times New Roman"/>
        <family val="1"/>
        <charset val="204"/>
      </rPr>
      <t xml:space="preserve">
</t>
    </r>
    <r>
      <rPr>
        <u/>
        <sz val="20"/>
        <color theme="1"/>
        <rFont val="Times New Roman"/>
        <family val="1"/>
        <charset val="204"/>
      </rPr>
      <t>ДГХ</t>
    </r>
    <r>
      <rPr>
        <sz val="20"/>
        <color theme="1"/>
        <rFont val="Times New Roman"/>
        <family val="1"/>
        <charset val="204"/>
      </rPr>
      <t>: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t>
    </r>
    <r>
      <rPr>
        <sz val="20"/>
        <color rgb="FFFF0000"/>
        <rFont val="Times New Roman"/>
        <family val="1"/>
        <charset val="204"/>
      </rPr>
      <t xml:space="preserve">
</t>
    </r>
    <r>
      <rPr>
        <u/>
        <sz val="20"/>
        <rFont val="Times New Roman"/>
        <family val="1"/>
        <charset val="204"/>
      </rPr>
      <t>ДО:</t>
    </r>
    <r>
      <rPr>
        <sz val="20"/>
        <rFont val="Times New Roman"/>
        <family val="1"/>
        <charset val="204"/>
      </rPr>
      <t xml:space="preserve">
Средства 1 100 тыс. руб., поступившие в соответствии со справкой Департамента финансов ХМАО-Югры  от 20.05.2016  на развитие казачьих кадетских классов с казачьим компонентом на базе мунциипальных общеобразовательных организаций в ХМАО-Югре  исполнены в полном объеме.    </t>
    </r>
  </si>
  <si>
    <r>
      <rPr>
        <u/>
        <sz val="20"/>
        <rFont val="Times New Roman"/>
        <family val="2"/>
        <charset val="204"/>
      </rPr>
      <t>УБУиО, ДГХ</t>
    </r>
    <r>
      <rPr>
        <sz val="20"/>
        <rFont val="Times New Roman"/>
        <family val="2"/>
        <charset val="204"/>
      </rPr>
      <t xml:space="preserve"> По состоянию на 01.10.2016 произведена:
-выплата вознаграждения 192 приемным родителям (количество получателей ежемесячно уточняется) за январь-август 2016 года, выплата производится планомерно в течение всего финансового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 44/2 кв.59, ул.Университетская д.25/1 кв.3 из запланированных 4 квартир.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
      По состоянию на 01.10.2016 произведена выплата заработной платы за январь-август и первую половину сентября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1"/>
        <charset val="204"/>
      </rPr>
      <t>ДАиГ:</t>
    </r>
    <r>
      <rPr>
        <sz val="20"/>
        <rFont val="Times New Roman"/>
        <family val="1"/>
        <charset val="204"/>
      </rPr>
      <t>Аукцион на приобретение квартир для детей сирот в апреле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аукцион.Заключен муниципальный контракт на приобретение 28 жилых помещений. Произведена предоплата в размере 30 %. Доведены дополнительные средства окружного бюджета в сумме 8683,79 тыс.руб. После выделения дополнительных средств местного бюджета на очередном заседании Думы города будет объявлен аукцион на приобретение еще 5 квартир.</t>
    </r>
    <r>
      <rPr>
        <sz val="20"/>
        <color rgb="FFFF0000"/>
        <rFont val="Times New Roman"/>
        <family val="1"/>
        <charset val="204"/>
      </rPr>
      <t xml:space="preserve">
</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Соглашением.Планируемая экономия, будет возвращена в бюджет автономного округа и в местный бюджет;</t>
    </r>
    <r>
      <rPr>
        <sz val="20"/>
        <color rgb="FFFF0000"/>
        <rFont val="Times New Roman"/>
        <family val="1"/>
        <charset val="204"/>
      </rPr>
      <t xml:space="preserve">
</t>
    </r>
    <r>
      <rPr>
        <sz val="20"/>
        <rFont val="Times New Roman"/>
        <family val="1"/>
        <charset val="204"/>
      </rPr>
      <t xml:space="preserve">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</si>
  <si>
    <r>
      <t xml:space="preserve">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</si>
  <si>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t xml:space="preserve">В списке граждан, имеющих право на получение субсидии за счет средств федерального бюджета по городу Сургуту на 01.01.2016 состоит 512 человек. Планируется в 2016 году предоставить субсидию 14 льготополучателям, из расчета размера субсидии 759 672 рубля.  Средства федерального бюджета до конца года планируется использовать в полном объёме.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По состоянию на 01.10.16 субсидия предоставлена 6 льготополучателям.  </t>
  </si>
  <si>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01.10.2016 в рамках исполнения контракта на оказание услуг по организации ярмарок </t>
    </r>
    <r>
      <rPr>
        <sz val="20"/>
        <color theme="1"/>
        <rFont val="Times New Roman"/>
        <family val="2"/>
        <charset val="204"/>
      </rPr>
      <t xml:space="preserve">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В рамках мероприятия "Финансовая поддержка" поддержка в форме субсидий оказана 1 организации и 21 субъекту малого и среднего предпринимательства. Оказаны и оплачены услуги по проведению городского конкурса  "Предприниматель года".  Ведется работа по информированию субъектов малого и среднего предпринимательства о формах поддержки. 
</t>
    </r>
    <r>
      <rPr>
        <sz val="20"/>
        <rFont val="Times New Roman"/>
        <family val="1"/>
        <charset val="204"/>
      </rPr>
      <t xml:space="preserve">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t>
    </r>
    <r>
      <rPr>
        <sz val="20"/>
        <color rgb="FFFF0000"/>
        <rFont val="Times New Roman"/>
        <family val="1"/>
        <charset val="204"/>
      </rPr>
      <t xml:space="preserve">
</t>
    </r>
    <r>
      <rPr>
        <sz val="20"/>
        <rFont val="Times New Roman"/>
        <family val="1"/>
        <charset val="204"/>
      </rPr>
      <t/>
    </r>
  </si>
  <si>
    <t>3. На 01.10.2016 года заключены и исполнены 19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серверного оборудования, переферийного оборудования, копировально-множительной техники,поставку и внедрение программного обеспечения, услуги по доработке функционала Системы управления электронной очередью "Энтер";
4. В плане графике размещения заказов размещены закупки на поставку мебели, программного обеспечения и проведение ремонтных работ в офисе в ТРЦ Сити Молл, поставку, ввод в эксплуатацию и гарантийное обслуживание техническх средств с исполнением до конца 2016 года. 
5.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</si>
</sst>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b/>
      <sz val="18"/>
      <color theme="1"/>
      <name val="Times New Roman"/>
      <family val="2"/>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sz val="18"/>
      <color theme="1"/>
      <name val="Times New Roman"/>
      <family val="1"/>
      <charset val="204"/>
    </font>
    <font>
      <u/>
      <sz val="20"/>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8">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2"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6" fillId="2" borderId="0" xfId="0" applyFont="1" applyFill="1" applyAlignment="1">
      <alignment horizontal="left" vertical="center" wrapText="1"/>
    </xf>
    <xf numFmtId="0" fontId="12" fillId="2" borderId="0" xfId="0" applyFont="1" applyFill="1" applyAlignment="1">
      <alignment horizontal="left" vertical="top" wrapText="1"/>
    </xf>
    <xf numFmtId="9" fontId="24" fillId="0"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1" xfId="0" applyFont="1" applyFill="1" applyBorder="1" applyAlignment="1" applyProtection="1">
      <alignment horizontal="left" vertical="center" wrapText="1"/>
      <protection locked="0"/>
    </xf>
    <xf numFmtId="0" fontId="26" fillId="0" borderId="0" xfId="0" applyFont="1" applyFill="1" applyAlignment="1">
      <alignment horizontal="left" vertical="center" wrapText="1"/>
    </xf>
    <xf numFmtId="0" fontId="12" fillId="0" borderId="1" xfId="0" applyFont="1" applyFill="1" applyBorder="1" applyAlignment="1" applyProtection="1">
      <alignment horizontal="left" vertical="center" wrapText="1"/>
      <protection locked="0"/>
    </xf>
    <xf numFmtId="0" fontId="12" fillId="0" borderId="0" xfId="0" applyFont="1" applyFill="1" applyAlignment="1">
      <alignment horizontal="left" vertical="top"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6" fillId="0" borderId="0" xfId="0" applyFont="1" applyFill="1" applyAlignment="1">
      <alignment horizontal="left" vertical="center" wrapText="1"/>
    </xf>
    <xf numFmtId="0" fontId="34" fillId="0" borderId="0" xfId="0" applyFont="1" applyFill="1" applyAlignment="1">
      <alignment horizontal="left" vertical="top" wrapText="1"/>
    </xf>
    <xf numFmtId="0" fontId="37" fillId="0" borderId="1" xfId="0" applyFont="1" applyFill="1" applyBorder="1" applyAlignment="1" applyProtection="1">
      <alignment horizontal="left" vertical="center" wrapText="1"/>
      <protection locked="0"/>
    </xf>
    <xf numFmtId="0" fontId="33" fillId="0" borderId="0" xfId="0" applyFont="1" applyFill="1" applyAlignment="1">
      <alignment horizontal="left" vertical="center"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4" fontId="16" fillId="0" borderId="1" xfId="0" applyNumberFormat="1" applyFont="1" applyFill="1" applyBorder="1" applyAlignment="1" applyProtection="1">
      <alignment horizontal="justify" vertical="top" wrapText="1"/>
      <protection locked="0"/>
    </xf>
    <xf numFmtId="9" fontId="31"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7"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justify" vertical="center" wrapText="1"/>
      <protection locked="0"/>
    </xf>
    <xf numFmtId="10" fontId="12" fillId="0" borderId="1" xfId="0" applyNumberFormat="1" applyFont="1" applyFill="1" applyBorder="1" applyAlignment="1" applyProtection="1">
      <alignment horizontal="justify" vertical="center" wrapText="1"/>
      <protection locked="0"/>
    </xf>
    <xf numFmtId="167" fontId="12" fillId="0" borderId="1" xfId="0" applyNumberFormat="1" applyFont="1" applyFill="1" applyBorder="1" applyAlignment="1" applyProtection="1">
      <alignment horizontal="justify" vertical="center" wrapText="1"/>
      <protection locked="0"/>
    </xf>
    <xf numFmtId="9" fontId="26" fillId="0" borderId="1" xfId="0" applyNumberFormat="1" applyFont="1" applyFill="1" applyBorder="1" applyAlignment="1" applyProtection="1">
      <alignment horizontal="justify" vertical="center" wrapText="1"/>
      <protection locked="0"/>
    </xf>
    <xf numFmtId="9" fontId="27" fillId="0" borderId="1" xfId="0" applyNumberFormat="1" applyFont="1" applyFill="1" applyBorder="1" applyAlignment="1" applyProtection="1">
      <alignment horizontal="justify" vertical="center" wrapText="1"/>
      <protection locked="0"/>
    </xf>
    <xf numFmtId="0" fontId="38"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top" wrapText="1"/>
    </xf>
    <xf numFmtId="0" fontId="14" fillId="0" borderId="1" xfId="0" applyFont="1" applyFill="1" applyBorder="1" applyAlignment="1" applyProtection="1">
      <alignment horizontal="justify" vertical="top"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9" fontId="42" fillId="2" borderId="1" xfId="0" applyNumberFormat="1"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4" xfId="0" applyFont="1" applyFill="1" applyBorder="1" applyAlignment="1" applyProtection="1">
      <alignment horizontal="justify" vertical="top" wrapText="1"/>
      <protection locked="0"/>
    </xf>
    <xf numFmtId="0" fontId="16" fillId="0" borderId="1" xfId="0" applyNumberFormat="1" applyFont="1" applyFill="1" applyBorder="1" applyAlignment="1" applyProtection="1">
      <alignment horizontal="center" vertical="center" wrapText="1"/>
      <protection locked="0"/>
    </xf>
    <xf numFmtId="4" fontId="24" fillId="2" borderId="1" xfId="0" applyNumberFormat="1" applyFont="1" applyFill="1" applyBorder="1" applyAlignment="1" applyProtection="1">
      <alignment horizontal="center" vertical="center" wrapText="1"/>
      <protection locked="0"/>
    </xf>
    <xf numFmtId="4" fontId="30"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4" fontId="44" fillId="0" borderId="1" xfId="0" applyNumberFormat="1"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horizontal="center" vertical="center" wrapText="1"/>
      <protection locked="0"/>
    </xf>
    <xf numFmtId="4" fontId="45" fillId="0" borderId="1" xfId="0" applyNumberFormat="1" applyFont="1" applyFill="1" applyBorder="1" applyAlignment="1" applyProtection="1">
      <alignment horizontal="center" vertical="center" wrapText="1"/>
      <protection locked="0"/>
    </xf>
    <xf numFmtId="9" fontId="45" fillId="0" borderId="1" xfId="0" applyNumberFormat="1" applyFont="1" applyFill="1" applyBorder="1" applyAlignment="1" applyProtection="1">
      <alignment horizontal="center" vertical="center" wrapText="1"/>
      <protection locked="0"/>
    </xf>
    <xf numFmtId="167" fontId="45" fillId="0" borderId="1" xfId="0" applyNumberFormat="1" applyFont="1" applyFill="1" applyBorder="1" applyAlignment="1" applyProtection="1">
      <alignment horizontal="center" vertical="center" wrapText="1"/>
      <protection locked="0"/>
    </xf>
    <xf numFmtId="4" fontId="44" fillId="2" borderId="1" xfId="0" applyNumberFormat="1" applyFont="1" applyFill="1" applyBorder="1" applyAlignment="1" applyProtection="1">
      <alignment horizontal="center" vertical="center" wrapText="1"/>
      <protection locked="0"/>
    </xf>
    <xf numFmtId="9" fontId="44" fillId="2"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2" fontId="45"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167" fontId="44" fillId="0" borderId="1" xfId="0" applyNumberFormat="1" applyFont="1" applyFill="1" applyBorder="1" applyAlignment="1" applyProtection="1">
      <alignment horizontal="center" vertical="center" wrapText="1"/>
      <protection locked="0"/>
    </xf>
    <xf numFmtId="43" fontId="22" fillId="0" borderId="1" xfId="0" applyNumberFormat="1"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justify" vertical="center" wrapText="1"/>
      <protection locked="0"/>
    </xf>
    <xf numFmtId="0" fontId="44" fillId="2"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44" fillId="0" borderId="1" xfId="0" applyFont="1" applyFill="1" applyBorder="1" applyAlignment="1" applyProtection="1">
      <alignment horizontal="justify" vertical="center" wrapText="1"/>
      <protection locked="0"/>
    </xf>
    <xf numFmtId="49" fontId="45"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44" fillId="2" borderId="1" xfId="0" applyNumberFormat="1" applyFont="1" applyFill="1" applyBorder="1" applyAlignment="1" applyProtection="1">
      <alignment horizontal="center" vertical="center" wrapText="1"/>
      <protection locked="0"/>
    </xf>
    <xf numFmtId="49" fontId="44" fillId="0" borderId="1" xfId="0" applyNumberFormat="1"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9" fontId="27"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justify" vertical="top" wrapText="1"/>
      <protection locked="0"/>
    </xf>
    <xf numFmtId="0" fontId="14" fillId="0" borderId="2"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top" wrapText="1"/>
      <protection locked="0"/>
    </xf>
    <xf numFmtId="4" fontId="21" fillId="2"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center" wrapText="1"/>
      <protection locked="0"/>
    </xf>
    <xf numFmtId="9" fontId="14" fillId="0" borderId="1" xfId="0" applyNumberFormat="1" applyFont="1" applyFill="1" applyBorder="1" applyAlignment="1" applyProtection="1">
      <alignment horizontal="justify" vertical="center" wrapText="1"/>
      <protection locked="0"/>
    </xf>
    <xf numFmtId="0" fontId="13"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justify" vertical="top" wrapText="1"/>
      <protection locked="0"/>
    </xf>
    <xf numFmtId="4" fontId="16" fillId="0" borderId="2" xfId="0"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justify" vertical="top" wrapText="1"/>
      <protection locked="0"/>
    </xf>
    <xf numFmtId="9" fontId="21" fillId="0" borderId="4" xfId="0" applyNumberFormat="1" applyFont="1" applyFill="1" applyBorder="1" applyAlignment="1" applyProtection="1">
      <alignment horizontal="center" vertical="center" wrapText="1"/>
      <protection locked="0"/>
    </xf>
    <xf numFmtId="9" fontId="21" fillId="0" borderId="2" xfId="0" applyNumberFormat="1" applyFont="1" applyFill="1" applyBorder="1" applyAlignment="1" applyProtection="1">
      <alignment horizontal="center" vertical="center" wrapText="1"/>
      <protection locked="0"/>
    </xf>
    <xf numFmtId="9" fontId="21" fillId="0" borderId="3" xfId="0" applyNumberFormat="1" applyFont="1" applyFill="1" applyBorder="1" applyAlignment="1" applyProtection="1">
      <alignment horizontal="center" vertical="center" wrapText="1"/>
      <protection locked="0"/>
    </xf>
    <xf numFmtId="9" fontId="14" fillId="2" borderId="4" xfId="0" applyNumberFormat="1" applyFont="1" applyFill="1" applyBorder="1" applyAlignment="1" applyProtection="1">
      <alignment horizontal="justify" vertical="center" wrapText="1"/>
      <protection locked="0"/>
    </xf>
    <xf numFmtId="9" fontId="14" fillId="2" borderId="2" xfId="0" applyNumberFormat="1" applyFont="1" applyFill="1" applyBorder="1" applyAlignment="1" applyProtection="1">
      <alignment horizontal="justify" vertical="center" wrapText="1"/>
      <protection locked="0"/>
    </xf>
    <xf numFmtId="9" fontId="14" fillId="2" borderId="3" xfId="0" applyNumberFormat="1"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sheetPr>
  <dimension ref="A1:P416"/>
  <sheetViews>
    <sheetView showZeros="0" tabSelected="1" showOutlineSymbols="0" view="pageBreakPreview" zoomScale="40" zoomScaleNormal="50" zoomScaleSheetLayoutView="40" workbookViewId="0">
      <selection activeCell="A3" sqref="A3:P3"/>
    </sheetView>
  </sheetViews>
  <sheetFormatPr defaultRowHeight="26.25" outlineLevelRow="1" outlineLevelCol="2" x14ac:dyDescent="0.4"/>
  <cols>
    <col min="1" max="1" width="16" style="35" customWidth="1"/>
    <col min="2" max="2" width="116.625" style="68" customWidth="1"/>
    <col min="3" max="3" width="25.25" style="6" hidden="1" customWidth="1"/>
    <col min="4" max="4" width="22.5" style="6" hidden="1" customWidth="1"/>
    <col min="5" max="5" width="24.125" style="6" hidden="1" customWidth="1"/>
    <col min="6" max="6" width="26.375" style="36" customWidth="1"/>
    <col min="7" max="7" width="25.125" style="36" customWidth="1"/>
    <col min="8" max="8" width="22.625" style="37" customWidth="1" outlineLevel="2"/>
    <col min="9" max="9" width="19.75" style="38" customWidth="1" outlineLevel="2"/>
    <col min="10" max="10" width="24.25" style="36" customWidth="1" outlineLevel="2"/>
    <col min="11" max="11" width="26.125" style="38" customWidth="1" outlineLevel="2"/>
    <col min="12" max="12" width="26.625" style="38" customWidth="1" outlineLevel="2"/>
    <col min="13" max="14" width="23.75" style="38" hidden="1" customWidth="1" outlineLevel="2"/>
    <col min="15" max="15" width="23.75" style="38" customWidth="1" outlineLevel="2"/>
    <col min="16" max="16" width="163.25" style="68" customWidth="1"/>
    <col min="17" max="72" width="9" style="6" customWidth="1"/>
    <col min="73" max="16384" width="9" style="6"/>
  </cols>
  <sheetData>
    <row r="1" spans="1:16" ht="30.75" x14ac:dyDescent="0.45">
      <c r="A1" s="1"/>
      <c r="B1" s="96"/>
      <c r="C1" s="2"/>
      <c r="D1" s="2"/>
      <c r="E1" s="2"/>
      <c r="F1" s="3"/>
      <c r="G1" s="3"/>
      <c r="H1" s="4"/>
      <c r="I1" s="5"/>
      <c r="J1" s="3"/>
      <c r="K1" s="5"/>
      <c r="L1" s="5"/>
      <c r="M1" s="5"/>
      <c r="N1" s="5"/>
      <c r="O1" s="5"/>
      <c r="P1" s="67"/>
    </row>
    <row r="2" spans="1:16" ht="30.75" x14ac:dyDescent="0.45">
      <c r="A2" s="1"/>
      <c r="B2" s="96"/>
      <c r="C2" s="2"/>
      <c r="D2" s="2"/>
      <c r="E2" s="2"/>
      <c r="F2" s="3"/>
      <c r="G2" s="3"/>
      <c r="H2" s="4"/>
      <c r="I2" s="5"/>
      <c r="J2" s="3"/>
      <c r="K2" s="5"/>
      <c r="L2" s="5"/>
      <c r="M2" s="5"/>
      <c r="N2" s="5"/>
      <c r="O2" s="5"/>
      <c r="P2" s="67"/>
    </row>
    <row r="3" spans="1:16" ht="73.5" customHeight="1" x14ac:dyDescent="0.4">
      <c r="A3" s="167" t="s">
        <v>109</v>
      </c>
      <c r="B3" s="167"/>
      <c r="C3" s="167"/>
      <c r="D3" s="167"/>
      <c r="E3" s="167"/>
      <c r="F3" s="167"/>
      <c r="G3" s="167"/>
      <c r="H3" s="167"/>
      <c r="I3" s="167"/>
      <c r="J3" s="167"/>
      <c r="K3" s="167"/>
      <c r="L3" s="167"/>
      <c r="M3" s="167"/>
      <c r="N3" s="167"/>
      <c r="O3" s="167"/>
      <c r="P3" s="167"/>
    </row>
    <row r="4" spans="1:16" s="2" customFormat="1" ht="41.25" customHeight="1" x14ac:dyDescent="0.4">
      <c r="A4" s="7"/>
      <c r="B4" s="97"/>
      <c r="C4" s="7"/>
      <c r="D4" s="7"/>
      <c r="E4" s="7"/>
      <c r="F4" s="8"/>
      <c r="G4" s="8"/>
      <c r="H4" s="8"/>
      <c r="I4" s="8"/>
      <c r="J4" s="8"/>
      <c r="K4" s="9"/>
      <c r="L4" s="48"/>
      <c r="M4" s="9"/>
      <c r="N4" s="9"/>
      <c r="O4" s="9"/>
      <c r="P4" s="87" t="s">
        <v>36</v>
      </c>
    </row>
    <row r="5" spans="1:16" s="49" customFormat="1" ht="72.75" customHeight="1" x14ac:dyDescent="0.25">
      <c r="A5" s="169" t="s">
        <v>3</v>
      </c>
      <c r="B5" s="171" t="s">
        <v>8</v>
      </c>
      <c r="C5" s="157" t="s">
        <v>17</v>
      </c>
      <c r="D5" s="157" t="s">
        <v>18</v>
      </c>
      <c r="E5" s="157" t="s">
        <v>19</v>
      </c>
      <c r="F5" s="157" t="s">
        <v>87</v>
      </c>
      <c r="G5" s="157"/>
      <c r="H5" s="161" t="s">
        <v>110</v>
      </c>
      <c r="I5" s="161"/>
      <c r="J5" s="161"/>
      <c r="K5" s="161"/>
      <c r="L5" s="156" t="s">
        <v>44</v>
      </c>
      <c r="M5" s="88"/>
      <c r="N5" s="88"/>
      <c r="O5" s="156" t="s">
        <v>58</v>
      </c>
      <c r="P5" s="158" t="s">
        <v>88</v>
      </c>
    </row>
    <row r="6" spans="1:16" s="49" customFormat="1" ht="69.75" customHeight="1" x14ac:dyDescent="0.25">
      <c r="A6" s="169"/>
      <c r="B6" s="171"/>
      <c r="C6" s="157"/>
      <c r="D6" s="157"/>
      <c r="E6" s="157"/>
      <c r="F6" s="170" t="s">
        <v>42</v>
      </c>
      <c r="G6" s="157" t="s">
        <v>43</v>
      </c>
      <c r="H6" s="168" t="s">
        <v>7</v>
      </c>
      <c r="I6" s="168"/>
      <c r="J6" s="168" t="s">
        <v>6</v>
      </c>
      <c r="K6" s="168"/>
      <c r="L6" s="156"/>
      <c r="M6" s="88"/>
      <c r="N6" s="88"/>
      <c r="O6" s="156"/>
      <c r="P6" s="159"/>
    </row>
    <row r="7" spans="1:16" s="49" customFormat="1" ht="69.75" x14ac:dyDescent="0.25">
      <c r="A7" s="169"/>
      <c r="B7" s="171"/>
      <c r="C7" s="157"/>
      <c r="D7" s="157"/>
      <c r="E7" s="157"/>
      <c r="F7" s="170"/>
      <c r="G7" s="157"/>
      <c r="H7" s="89" t="s">
        <v>0</v>
      </c>
      <c r="I7" s="90" t="s">
        <v>12</v>
      </c>
      <c r="J7" s="91" t="s">
        <v>9</v>
      </c>
      <c r="K7" s="90" t="s">
        <v>2</v>
      </c>
      <c r="L7" s="156"/>
      <c r="M7" s="88"/>
      <c r="N7" s="88"/>
      <c r="O7" s="156"/>
      <c r="P7" s="160"/>
    </row>
    <row r="8" spans="1:16" s="14" customFormat="1" x14ac:dyDescent="0.25">
      <c r="A8" s="10">
        <v>1</v>
      </c>
      <c r="B8" s="10">
        <v>2</v>
      </c>
      <c r="C8" s="11">
        <v>4</v>
      </c>
      <c r="D8" s="11">
        <v>5</v>
      </c>
      <c r="E8" s="11">
        <v>6</v>
      </c>
      <c r="F8" s="11">
        <v>3</v>
      </c>
      <c r="G8" s="11">
        <v>4</v>
      </c>
      <c r="H8" s="12">
        <v>5</v>
      </c>
      <c r="I8" s="11">
        <v>6</v>
      </c>
      <c r="J8" s="11">
        <v>7</v>
      </c>
      <c r="K8" s="13">
        <v>8</v>
      </c>
      <c r="L8" s="13">
        <v>9</v>
      </c>
      <c r="M8" s="11"/>
      <c r="N8" s="11"/>
      <c r="O8" s="11">
        <v>10</v>
      </c>
      <c r="P8" s="13">
        <v>11</v>
      </c>
    </row>
    <row r="9" spans="1:16" s="50" customFormat="1" ht="87" customHeight="1" x14ac:dyDescent="0.25">
      <c r="A9" s="169"/>
      <c r="B9" s="98" t="s">
        <v>35</v>
      </c>
      <c r="C9" s="16" t="e">
        <f>C10+C11+#REF!+C14</f>
        <v>#REF!</v>
      </c>
      <c r="D9" s="16" t="e">
        <f>D10+D11+#REF!+D14</f>
        <v>#REF!</v>
      </c>
      <c r="E9" s="16" t="e">
        <f>E10+E11+#REF!+#REF!+E14</f>
        <v>#REF!</v>
      </c>
      <c r="F9" s="16">
        <f>SUM(F10:F14)</f>
        <v>12195206.74</v>
      </c>
      <c r="G9" s="16">
        <f t="shared" ref="G9:N9" si="0">SUM(G10:G14)</f>
        <v>13034604.25</v>
      </c>
      <c r="H9" s="16">
        <f>SUM(H10:H14)</f>
        <v>8310749.2699999996</v>
      </c>
      <c r="I9" s="16">
        <f>H9/G9*100</f>
        <v>63.76</v>
      </c>
      <c r="J9" s="16">
        <f t="shared" si="0"/>
        <v>8137723.5899999999</v>
      </c>
      <c r="K9" s="16">
        <f>J9/G9*100</f>
        <v>62.43</v>
      </c>
      <c r="L9" s="16">
        <f t="shared" si="0"/>
        <v>12823722.310000001</v>
      </c>
      <c r="M9" s="16">
        <f t="shared" si="0"/>
        <v>2085620.97</v>
      </c>
      <c r="N9" s="16">
        <f t="shared" si="0"/>
        <v>0</v>
      </c>
      <c r="O9" s="16">
        <f>SUM(O10:O14)</f>
        <v>210881.95</v>
      </c>
      <c r="P9" s="72"/>
    </row>
    <row r="10" spans="1:16" s="49" customFormat="1" ht="39.75" customHeight="1" x14ac:dyDescent="0.25">
      <c r="A10" s="169"/>
      <c r="B10" s="95" t="s">
        <v>4</v>
      </c>
      <c r="C10" s="16" t="e">
        <f>#REF!+#REF!+#REF!+#REF!+#REF!+#REF!+#REF!+#REF!+#REF!+#REF!+#REF!+#REF!+#REF!+#REF!+#REF!+#REF!+#REF!+#REF!+#REF!+#REF!+#REF!+#REF!</f>
        <v>#REF!</v>
      </c>
      <c r="D10" s="16" t="e">
        <f>#REF!+#REF!+#REF!+#REF!+#REF!+#REF!+#REF!+#REF!+#REF!+#REF!+#REF!+#REF!+#REF!+#REF!+#REF!+#REF!+#REF!+#REF!+#REF!+#REF!+#REF!+#REF!</f>
        <v>#REF!</v>
      </c>
      <c r="E10" s="16" t="e">
        <f>#REF!+#REF!+#REF!+#REF!+#REF!+#REF!+#REF!+#REF!+#REF!+#REF!+#REF!+#REF!+#REF!+#REF!+#REF!+#REF!+#REF!+#REF!+#REF!+#REF!+#REF!+#REF!</f>
        <v>#REF!</v>
      </c>
      <c r="F10" s="16">
        <f t="shared" ref="F10:H14" si="1">F16+F24+F31+F38+F44+F50+F56+F67+F146+F153+F171+F178+F185</f>
        <v>37443.129999999997</v>
      </c>
      <c r="G10" s="16">
        <f t="shared" si="1"/>
        <v>40114.14</v>
      </c>
      <c r="H10" s="16">
        <f t="shared" si="1"/>
        <v>33751.14</v>
      </c>
      <c r="I10" s="16">
        <f t="shared" ref="I10:I14" si="2">H10/G10*100</f>
        <v>84.14</v>
      </c>
      <c r="J10" s="16">
        <f>J16+J24+J31+J38+J44+J50+J56+J67+J146+J153+J171+J178+J185</f>
        <v>25935.86</v>
      </c>
      <c r="K10" s="16">
        <f t="shared" ref="K10:K14" si="3">J10/G10*100</f>
        <v>64.66</v>
      </c>
      <c r="L10" s="16">
        <f t="shared" ref="L10:O14" si="4">L16+L24+L31+L38+L44+L50+L56+L67+L146+L153+L171+L178+L185</f>
        <v>37415.4</v>
      </c>
      <c r="M10" s="16">
        <f t="shared" si="4"/>
        <v>18542.34</v>
      </c>
      <c r="N10" s="16">
        <f t="shared" si="4"/>
        <v>0</v>
      </c>
      <c r="O10" s="16">
        <f t="shared" si="4"/>
        <v>2698.74</v>
      </c>
      <c r="P10" s="72"/>
    </row>
    <row r="11" spans="1:16" s="49" customFormat="1" ht="39.75" customHeight="1" x14ac:dyDescent="0.25">
      <c r="A11" s="169"/>
      <c r="B11" s="95" t="s">
        <v>16</v>
      </c>
      <c r="C11" s="16" t="e">
        <f>C44++C20+#REF!+#REF!+#REF!+#REF!+#REF!+#REF!+#REF!+#REF!+#REF!+#REF!+#REF!+#REF!+#REF!+#REF!+#REF!+#REF!+#REF!+#REF!+#REF!+#REF!</f>
        <v>#REF!</v>
      </c>
      <c r="D11" s="16" t="e">
        <f>D44++D20+#REF!+#REF!+#REF!+#REF!+#REF!+#REF!+#REF!+#REF!+#REF!+#REF!+#REF!+#REF!+#REF!+#REF!+#REF!+#REF!+#REF!+#REF!+#REF!+#REF!</f>
        <v>#REF!</v>
      </c>
      <c r="E11" s="16" t="e">
        <f>E44++E20+#REF!+#REF!+#REF!+#REF!+#REF!+#REF!+#REF!+#REF!+#REF!+#REF!+#REF!+#REF!+#REF!+#REF!+#REF!+#REF!+#REF!+#REF!+#REF!+#REF!</f>
        <v>#REF!</v>
      </c>
      <c r="F11" s="16">
        <f t="shared" si="1"/>
        <v>11628133.859999999</v>
      </c>
      <c r="G11" s="16">
        <f t="shared" si="1"/>
        <v>12412657.98</v>
      </c>
      <c r="H11" s="16">
        <f t="shared" si="1"/>
        <v>7936268.8600000003</v>
      </c>
      <c r="I11" s="16">
        <f t="shared" si="2"/>
        <v>63.94</v>
      </c>
      <c r="J11" s="16">
        <f>J17+J25+J32+J39+J45+J51+J57+J68+J147+J154+J172+J179+J186</f>
        <v>7771058.46</v>
      </c>
      <c r="K11" s="16">
        <f t="shared" si="3"/>
        <v>62.61</v>
      </c>
      <c r="L11" s="16">
        <f t="shared" si="4"/>
        <v>12221333.300000001</v>
      </c>
      <c r="M11" s="16">
        <f t="shared" si="4"/>
        <v>1863978.96</v>
      </c>
      <c r="N11" s="16">
        <f t="shared" si="4"/>
        <v>0</v>
      </c>
      <c r="O11" s="16">
        <f t="shared" si="4"/>
        <v>191324.68</v>
      </c>
      <c r="P11" s="72"/>
    </row>
    <row r="12" spans="1:16" s="49" customFormat="1" ht="39.75" customHeight="1" x14ac:dyDescent="0.25">
      <c r="A12" s="169"/>
      <c r="B12" s="95" t="s">
        <v>11</v>
      </c>
      <c r="C12" s="16" t="e">
        <f>#REF!+#REF!+#REF!+#REF!+#REF!+#REF!+#REF!+#REF!+#REF!+#REF!+#REF!+#REF!+#REF!+#REF!+#REF!+#REF!+#REF!+#REF!+C47+#REF!+#REF!+#REF!+#REF!</f>
        <v>#REF!</v>
      </c>
      <c r="D12" s="16" t="e">
        <f>#REF!+#REF!+#REF!+#REF!+#REF!+#REF!+#REF!+#REF!+#REF!+#REF!+#REF!+#REF!+#REF!+#REF!+#REF!+#REF!+#REF!+#REF!+D47+#REF!+#REF!+#REF!+#REF!</f>
        <v>#REF!</v>
      </c>
      <c r="E12" s="16" t="e">
        <f>#REF!+#REF!+#REF!+#REF!+#REF!+#REF!+#REF!+#REF!+#REF!+#REF!+#REF!+#REF!+#REF!+#REF!+#REF!+#REF!+#REF!+#REF!+E47+#REF!+#REF!+#REF!+#REF!</f>
        <v>#REF!</v>
      </c>
      <c r="F12" s="16">
        <f t="shared" si="1"/>
        <v>315943.78999999998</v>
      </c>
      <c r="G12" s="16">
        <f t="shared" si="1"/>
        <v>364785.41</v>
      </c>
      <c r="H12" s="16">
        <f t="shared" si="1"/>
        <v>218489.33</v>
      </c>
      <c r="I12" s="16">
        <f t="shared" si="2"/>
        <v>59.9</v>
      </c>
      <c r="J12" s="16">
        <f>J18+J26+J33+J40+J46+J52+J58+J69+J148+J155+J173+J180+J187</f>
        <v>218489.33</v>
      </c>
      <c r="K12" s="16">
        <f t="shared" si="3"/>
        <v>59.9</v>
      </c>
      <c r="L12" s="16">
        <f t="shared" si="4"/>
        <v>355930.65</v>
      </c>
      <c r="M12" s="16">
        <f t="shared" si="4"/>
        <v>201289.26</v>
      </c>
      <c r="N12" s="16">
        <f t="shared" si="4"/>
        <v>0</v>
      </c>
      <c r="O12" s="16">
        <f t="shared" si="4"/>
        <v>8854.76</v>
      </c>
      <c r="P12" s="72"/>
    </row>
    <row r="13" spans="1:16" s="49" customFormat="1" ht="39.75" customHeight="1" x14ac:dyDescent="0.25">
      <c r="A13" s="169"/>
      <c r="B13" s="95" t="s">
        <v>13</v>
      </c>
      <c r="C13" s="16" t="e">
        <f>#REF!+#REF!+#REF!+#REF!+#REF!+#REF!+#REF!+#REF!+#REF!+#REF!+#REF!+#REF!+#REF!+#REF!+#REF!+#REF!+#REF!+#REF!+C48+#REF!+#REF!+#REF!+#REF!</f>
        <v>#REF!</v>
      </c>
      <c r="D13" s="16" t="e">
        <f>#REF!+#REF!+#REF!+#REF!+#REF!+#REF!+#REF!+#REF!+#REF!+#REF!+#REF!+#REF!+#REF!+#REF!+#REF!+#REF!+#REF!+#REF!+D48+#REF!+#REF!+#REF!+#REF!</f>
        <v>#REF!</v>
      </c>
      <c r="E13" s="16" t="e">
        <f>#REF!+#REF!+#REF!+#REF!+#REF!+#REF!+#REF!+#REF!+#REF!+#REF!+#REF!+#REF!+#REF!+#REF!+#REF!+#REF!+#REF!+#REF!+E48+#REF!+#REF!+#REF!+#REF!</f>
        <v>#REF!</v>
      </c>
      <c r="F13" s="16">
        <f t="shared" si="1"/>
        <v>101961.87</v>
      </c>
      <c r="G13" s="16">
        <f t="shared" si="1"/>
        <v>105322.63</v>
      </c>
      <c r="H13" s="16">
        <f t="shared" si="1"/>
        <v>66436.960000000006</v>
      </c>
      <c r="I13" s="16">
        <f t="shared" si="2"/>
        <v>63.08</v>
      </c>
      <c r="J13" s="16">
        <f>J19+J27+J34+J41+J47+J53+J59+J70+J149+J156+J174+J181+J188</f>
        <v>66436.960000000006</v>
      </c>
      <c r="K13" s="16">
        <f t="shared" si="3"/>
        <v>63.08</v>
      </c>
      <c r="L13" s="16">
        <f t="shared" si="4"/>
        <v>100710.33</v>
      </c>
      <c r="M13" s="16">
        <f t="shared" si="4"/>
        <v>1810.41</v>
      </c>
      <c r="N13" s="16">
        <f t="shared" si="4"/>
        <v>0</v>
      </c>
      <c r="O13" s="16">
        <f t="shared" si="4"/>
        <v>4612.3100000000004</v>
      </c>
      <c r="P13" s="72"/>
    </row>
    <row r="14" spans="1:16" s="49" customFormat="1" ht="39.75" customHeight="1" x14ac:dyDescent="0.25">
      <c r="A14" s="169"/>
      <c r="B14" s="95" t="s">
        <v>5</v>
      </c>
      <c r="C14" s="16" t="e">
        <f>#REF!+#REF!+#REF!+#REF!+#REF!+#REF!+#REF!+#REF!+#REF!+#REF!+#REF!+#REF!+#REF!+#REF!+#REF!+#REF!+#REF!+#REF!+#REF!+#REF!+#REF!</f>
        <v>#REF!</v>
      </c>
      <c r="D14" s="16" t="e">
        <f>#REF!+#REF!+#REF!+#REF!+#REF!+#REF!+#REF!+#REF!+#REF!+#REF!+#REF!+#REF!+#REF!+#REF!+#REF!+#REF!+#REF!+#REF!+#REF!+#REF!+#REF!</f>
        <v>#REF!</v>
      </c>
      <c r="E14" s="16" t="e">
        <f>#REF!+#REF!+#REF!+#REF!+#REF!+#REF!+#REF!+#REF!+#REF!+#REF!+#REF!+#REF!+#REF!+#REF!+#REF!+#REF!+#REF!+#REF!+#REF!+#REF!+#REF!</f>
        <v>#REF!</v>
      </c>
      <c r="F14" s="16">
        <f t="shared" si="1"/>
        <v>111724.09</v>
      </c>
      <c r="G14" s="16">
        <f t="shared" si="1"/>
        <v>111724.09</v>
      </c>
      <c r="H14" s="16">
        <f t="shared" si="1"/>
        <v>55802.98</v>
      </c>
      <c r="I14" s="16">
        <f t="shared" si="2"/>
        <v>49.95</v>
      </c>
      <c r="J14" s="16">
        <f>J20+J28+J35+J42+J48+J54+J60+J71+J150+J157+J175+J182+J189</f>
        <v>55802.98</v>
      </c>
      <c r="K14" s="16">
        <f t="shared" si="3"/>
        <v>49.95</v>
      </c>
      <c r="L14" s="16">
        <f t="shared" si="4"/>
        <v>108332.63</v>
      </c>
      <c r="M14" s="16">
        <f t="shared" si="4"/>
        <v>0</v>
      </c>
      <c r="N14" s="16">
        <f t="shared" si="4"/>
        <v>0</v>
      </c>
      <c r="O14" s="16">
        <f t="shared" si="4"/>
        <v>3391.46</v>
      </c>
      <c r="P14" s="72"/>
    </row>
    <row r="15" spans="1:16" s="50" customFormat="1" ht="115.5" customHeight="1" x14ac:dyDescent="0.25">
      <c r="A15" s="137" t="s">
        <v>37</v>
      </c>
      <c r="B15" s="98" t="s">
        <v>96</v>
      </c>
      <c r="C15" s="16" t="e">
        <f>SUM(C20:C20)</f>
        <v>#REF!</v>
      </c>
      <c r="D15" s="16" t="e">
        <f>SUM(D20:D20)</f>
        <v>#REF!</v>
      </c>
      <c r="E15" s="16" t="e">
        <f>SUM(E20:E20)</f>
        <v>#REF!</v>
      </c>
      <c r="F15" s="16">
        <f>F16+F17+F18+F19+F20</f>
        <v>206597.24</v>
      </c>
      <c r="G15" s="16">
        <f t="shared" ref="G15:J15" si="5">G16+G17+G18+G19+G20</f>
        <v>206597.24</v>
      </c>
      <c r="H15" s="16">
        <f t="shared" si="5"/>
        <v>197118.07999999999</v>
      </c>
      <c r="I15" s="18">
        <f>H15/G15</f>
        <v>0.95</v>
      </c>
      <c r="J15" s="16">
        <f t="shared" si="5"/>
        <v>197118.07999999999</v>
      </c>
      <c r="K15" s="43">
        <f>J15/G15</f>
        <v>0.95</v>
      </c>
      <c r="L15" s="16">
        <f t="shared" ref="L15" si="6">L16+L17+L18+L19+L20</f>
        <v>202405.49</v>
      </c>
      <c r="M15" s="16">
        <f t="shared" ref="M15" si="7">M16+M17+M18+M19+M20</f>
        <v>0</v>
      </c>
      <c r="N15" s="16">
        <f t="shared" ref="N15" si="8">N16+N17+N18+N19+N20</f>
        <v>0</v>
      </c>
      <c r="O15" s="16">
        <f t="shared" ref="O15" si="9">O16+O17+O18+O19+O20</f>
        <v>4191.75</v>
      </c>
      <c r="P15" s="163" t="s">
        <v>122</v>
      </c>
    </row>
    <row r="16" spans="1:16" s="50" customFormat="1" ht="37.5" customHeight="1" x14ac:dyDescent="0.25">
      <c r="A16" s="138"/>
      <c r="B16" s="95" t="s">
        <v>4</v>
      </c>
      <c r="C16" s="16"/>
      <c r="D16" s="16"/>
      <c r="E16" s="16"/>
      <c r="F16" s="39"/>
      <c r="G16" s="39"/>
      <c r="H16" s="39"/>
      <c r="I16" s="40"/>
      <c r="J16" s="39"/>
      <c r="K16" s="40"/>
      <c r="L16" s="39"/>
      <c r="M16" s="40"/>
      <c r="N16" s="40"/>
      <c r="O16" s="39"/>
      <c r="P16" s="163"/>
    </row>
    <row r="17" spans="1:16" s="50" customFormat="1" ht="37.5" customHeight="1" x14ac:dyDescent="0.25">
      <c r="A17" s="138"/>
      <c r="B17" s="95" t="s">
        <v>16</v>
      </c>
      <c r="C17" s="16"/>
      <c r="D17" s="16"/>
      <c r="E17" s="16"/>
      <c r="F17" s="39">
        <v>162038.70000000001</v>
      </c>
      <c r="G17" s="39">
        <v>162038.70000000001</v>
      </c>
      <c r="H17" s="39">
        <v>152559.54</v>
      </c>
      <c r="I17" s="40">
        <f>H17/G17</f>
        <v>0.94</v>
      </c>
      <c r="J17" s="39">
        <v>152559.54</v>
      </c>
      <c r="K17" s="40">
        <f>J17/G17</f>
        <v>0.94</v>
      </c>
      <c r="L17" s="39">
        <v>157846.95000000001</v>
      </c>
      <c r="M17" s="40"/>
      <c r="N17" s="40"/>
      <c r="O17" s="39">
        <f>G17-L17</f>
        <v>4191.75</v>
      </c>
      <c r="P17" s="163"/>
    </row>
    <row r="18" spans="1:16" s="50" customFormat="1" ht="37.5" customHeight="1" x14ac:dyDescent="0.25">
      <c r="A18" s="138"/>
      <c r="B18" s="95" t="s">
        <v>11</v>
      </c>
      <c r="C18" s="16"/>
      <c r="D18" s="16"/>
      <c r="E18" s="16"/>
      <c r="F18" s="39"/>
      <c r="G18" s="39"/>
      <c r="H18" s="39"/>
      <c r="I18" s="40"/>
      <c r="J18" s="39"/>
      <c r="K18" s="40"/>
      <c r="L18" s="39"/>
      <c r="M18" s="40"/>
      <c r="N18" s="40"/>
      <c r="O18" s="39"/>
      <c r="P18" s="163"/>
    </row>
    <row r="19" spans="1:16" s="50" customFormat="1" ht="37.5" customHeight="1" x14ac:dyDescent="0.25">
      <c r="A19" s="138"/>
      <c r="B19" s="95" t="s">
        <v>13</v>
      </c>
      <c r="C19" s="16"/>
      <c r="D19" s="16"/>
      <c r="E19" s="16"/>
      <c r="F19" s="39">
        <v>44558.54</v>
      </c>
      <c r="G19" s="39">
        <v>44558.54</v>
      </c>
      <c r="H19" s="39">
        <v>44558.54</v>
      </c>
      <c r="I19" s="40">
        <f>H19/G19</f>
        <v>1</v>
      </c>
      <c r="J19" s="39">
        <v>44558.54</v>
      </c>
      <c r="K19" s="40">
        <f>J19/G19</f>
        <v>1</v>
      </c>
      <c r="L19" s="39">
        <v>44558.54</v>
      </c>
      <c r="M19" s="40"/>
      <c r="N19" s="40"/>
      <c r="O19" s="39">
        <f>G19-L19</f>
        <v>0</v>
      </c>
      <c r="P19" s="163"/>
    </row>
    <row r="20" spans="1:16" s="49" customFormat="1" ht="37.5" customHeight="1" x14ac:dyDescent="0.25">
      <c r="A20" s="139"/>
      <c r="B20" s="95" t="s">
        <v>5</v>
      </c>
      <c r="C20" s="17" t="e">
        <f>#REF!+#REF!+#REF!+#REF!+#REF!+#REF!+#REF!+#REF!+#REF!</f>
        <v>#REF!</v>
      </c>
      <c r="D20" s="17" t="e">
        <f>#REF!+#REF!+#REF!+#REF!+#REF!+#REF!+#REF!+#REF!+#REF!</f>
        <v>#REF!</v>
      </c>
      <c r="E20" s="17" t="e">
        <f>#REF!+#REF!+#REF!+#REF!+#REF!+#REF!+#REF!+#REF!+#REF!</f>
        <v>#REF!</v>
      </c>
      <c r="F20" s="39"/>
      <c r="G20" s="39"/>
      <c r="H20" s="39"/>
      <c r="I20" s="40"/>
      <c r="J20" s="39"/>
      <c r="K20" s="40"/>
      <c r="L20" s="39"/>
      <c r="M20" s="40"/>
      <c r="N20" s="40"/>
      <c r="O20" s="39"/>
      <c r="P20" s="163"/>
    </row>
    <row r="21" spans="1:16" ht="26.25" customHeight="1" x14ac:dyDescent="0.4">
      <c r="A21" s="137" t="s">
        <v>14</v>
      </c>
      <c r="B21" s="150" t="s">
        <v>117</v>
      </c>
      <c r="C21" s="16" t="e">
        <f>SUM(C26:C28)</f>
        <v>#REF!</v>
      </c>
      <c r="D21" s="16" t="e">
        <f>SUM(D26:D28)</f>
        <v>#REF!</v>
      </c>
      <c r="E21" s="16" t="e">
        <f>SUM(E26:E28)</f>
        <v>#REF!</v>
      </c>
      <c r="F21" s="152">
        <f>F24+F25+F26</f>
        <v>8406994.8499999996</v>
      </c>
      <c r="G21" s="152">
        <f>G24+G25+G26</f>
        <v>8546769.7899999991</v>
      </c>
      <c r="H21" s="152">
        <f>H24+H25+H26</f>
        <v>5769072.3899999997</v>
      </c>
      <c r="I21" s="152">
        <f>H21/G21</f>
        <v>0.68</v>
      </c>
      <c r="J21" s="152">
        <f>J24+J25+J26</f>
        <v>5736151.1900000004</v>
      </c>
      <c r="K21" s="152">
        <f>J21/G21</f>
        <v>0.67</v>
      </c>
      <c r="L21" s="152">
        <f>SUM(L24:L28)</f>
        <v>8390552.6099999994</v>
      </c>
      <c r="M21" s="152">
        <f>M24+M25+M26</f>
        <v>0</v>
      </c>
      <c r="N21" s="152">
        <f>N24+N25+N26</f>
        <v>0</v>
      </c>
      <c r="O21" s="152">
        <f>SUM(O24:O28)</f>
        <v>162174.57</v>
      </c>
      <c r="P21" s="148" t="s">
        <v>118</v>
      </c>
    </row>
    <row r="22" spans="1:16" ht="243.75" customHeight="1" x14ac:dyDescent="0.4">
      <c r="A22" s="138"/>
      <c r="B22" s="178"/>
      <c r="C22" s="16"/>
      <c r="D22" s="16"/>
      <c r="E22" s="16"/>
      <c r="F22" s="173"/>
      <c r="G22" s="173"/>
      <c r="H22" s="173"/>
      <c r="I22" s="173"/>
      <c r="J22" s="173"/>
      <c r="K22" s="173"/>
      <c r="L22" s="173"/>
      <c r="M22" s="173"/>
      <c r="N22" s="173"/>
      <c r="O22" s="173"/>
      <c r="P22" s="148"/>
    </row>
    <row r="23" spans="1:16" ht="408.75" customHeight="1" x14ac:dyDescent="0.4">
      <c r="A23" s="27"/>
      <c r="B23" s="151"/>
      <c r="C23" s="16"/>
      <c r="D23" s="16"/>
      <c r="E23" s="16"/>
      <c r="F23" s="153"/>
      <c r="G23" s="153"/>
      <c r="H23" s="153"/>
      <c r="I23" s="153"/>
      <c r="J23" s="153"/>
      <c r="K23" s="153"/>
      <c r="L23" s="153"/>
      <c r="M23" s="153"/>
      <c r="N23" s="153"/>
      <c r="O23" s="153"/>
      <c r="P23" s="148"/>
    </row>
    <row r="24" spans="1:16" ht="49.5" customHeight="1" x14ac:dyDescent="0.4">
      <c r="A24" s="131"/>
      <c r="B24" s="95" t="s">
        <v>4</v>
      </c>
      <c r="C24" s="16"/>
      <c r="D24" s="16"/>
      <c r="E24" s="16"/>
      <c r="F24" s="16"/>
      <c r="G24" s="17">
        <v>1200</v>
      </c>
      <c r="H24" s="39">
        <v>1200</v>
      </c>
      <c r="I24" s="20"/>
      <c r="J24" s="16"/>
      <c r="K24" s="20"/>
      <c r="L24" s="39">
        <v>1200</v>
      </c>
      <c r="M24" s="20"/>
      <c r="N24" s="20"/>
      <c r="O24" s="16"/>
      <c r="P24" s="164"/>
    </row>
    <row r="25" spans="1:16" ht="49.5" customHeight="1" x14ac:dyDescent="0.4">
      <c r="A25" s="131"/>
      <c r="B25" s="95" t="s">
        <v>16</v>
      </c>
      <c r="C25" s="16"/>
      <c r="D25" s="16"/>
      <c r="E25" s="16"/>
      <c r="F25" s="39">
        <v>8393284.5999999996</v>
      </c>
      <c r="G25" s="39">
        <v>8505856.3900000006</v>
      </c>
      <c r="H25" s="39">
        <v>5742248.0899999999</v>
      </c>
      <c r="I25" s="40">
        <f>H25/G25</f>
        <v>0.68</v>
      </c>
      <c r="J25" s="39">
        <v>5710526.8899999997</v>
      </c>
      <c r="K25" s="40">
        <f>J25/G25</f>
        <v>0.67</v>
      </c>
      <c r="L25" s="39">
        <f>23887.1+8322594.91</f>
        <v>8346482.0099999998</v>
      </c>
      <c r="M25" s="73"/>
      <c r="N25" s="73"/>
      <c r="O25" s="39">
        <f>G25-L25</f>
        <v>159374.38</v>
      </c>
      <c r="P25" s="164"/>
    </row>
    <row r="26" spans="1:16" ht="38.25" customHeight="1" x14ac:dyDescent="0.4">
      <c r="A26" s="74" t="s">
        <v>89</v>
      </c>
      <c r="B26" s="95" t="s">
        <v>11</v>
      </c>
      <c r="C26" s="17" t="e">
        <f>#REF!</f>
        <v>#REF!</v>
      </c>
      <c r="D26" s="17" t="e">
        <f>#REF!</f>
        <v>#REF!</v>
      </c>
      <c r="E26" s="17" t="e">
        <f>#REF!</f>
        <v>#REF!</v>
      </c>
      <c r="F26" s="17">
        <f>19667.63-F27</f>
        <v>13710.25</v>
      </c>
      <c r="G26" s="17">
        <v>39713.4</v>
      </c>
      <c r="H26" s="17">
        <f>J26</f>
        <v>25624.3</v>
      </c>
      <c r="I26" s="40">
        <f>H26/G26</f>
        <v>0.65</v>
      </c>
      <c r="J26" s="17">
        <v>25624.3</v>
      </c>
      <c r="K26" s="40">
        <f>J26/G26</f>
        <v>0.65</v>
      </c>
      <c r="L26" s="46">
        <f>34921.39+4792.01</f>
        <v>39713.4</v>
      </c>
      <c r="M26" s="19"/>
      <c r="N26" s="19"/>
      <c r="O26" s="46">
        <f>G26-L26</f>
        <v>0</v>
      </c>
      <c r="P26" s="164"/>
    </row>
    <row r="27" spans="1:16" ht="49.5" customHeight="1" x14ac:dyDescent="0.4">
      <c r="A27" s="74"/>
      <c r="B27" s="95" t="s">
        <v>13</v>
      </c>
      <c r="C27" s="17" t="e">
        <f>#REF!</f>
        <v>#REF!</v>
      </c>
      <c r="D27" s="17" t="e">
        <f>#REF!</f>
        <v>#REF!</v>
      </c>
      <c r="E27" s="17" t="e">
        <f>#REF!</f>
        <v>#REF!</v>
      </c>
      <c r="F27" s="17">
        <v>5957.38</v>
      </c>
      <c r="G27" s="17">
        <v>5957.38</v>
      </c>
      <c r="H27" s="17">
        <f>J27</f>
        <v>151.81</v>
      </c>
      <c r="I27" s="19"/>
      <c r="J27" s="17">
        <v>151.81</v>
      </c>
      <c r="K27" s="19"/>
      <c r="L27" s="17">
        <v>3157.2</v>
      </c>
      <c r="M27" s="19"/>
      <c r="N27" s="19"/>
      <c r="O27" s="39">
        <v>2800.19</v>
      </c>
      <c r="P27" s="164"/>
    </row>
    <row r="28" spans="1:16" ht="40.5" customHeight="1" x14ac:dyDescent="0.4">
      <c r="A28" s="74"/>
      <c r="B28" s="95" t="s">
        <v>5</v>
      </c>
      <c r="C28" s="17"/>
      <c r="D28" s="17"/>
      <c r="E28" s="17"/>
      <c r="F28" s="17"/>
      <c r="G28" s="17"/>
      <c r="H28" s="21"/>
      <c r="I28" s="22"/>
      <c r="J28" s="21"/>
      <c r="K28" s="22"/>
      <c r="L28" s="17"/>
      <c r="M28" s="19"/>
      <c r="N28" s="19"/>
      <c r="O28" s="75"/>
      <c r="P28" s="164"/>
    </row>
    <row r="29" spans="1:16" ht="408" customHeight="1" x14ac:dyDescent="0.4">
      <c r="A29" s="137" t="s">
        <v>15</v>
      </c>
      <c r="B29" s="150" t="s">
        <v>97</v>
      </c>
      <c r="C29" s="16" t="e">
        <f>SUM(C31:C35)</f>
        <v>#REF!</v>
      </c>
      <c r="D29" s="16" t="e">
        <f>SUM(D31:D35)</f>
        <v>#REF!</v>
      </c>
      <c r="E29" s="16" t="e">
        <f>SUM(E31:E35)</f>
        <v>#REF!</v>
      </c>
      <c r="F29" s="152">
        <f>F31+F32+F33+F34+F35</f>
        <v>371678.19</v>
      </c>
      <c r="G29" s="152">
        <f t="shared" ref="G29:O29" si="10">G31+G32+G33+G34+G35</f>
        <v>377729.17</v>
      </c>
      <c r="H29" s="152">
        <f t="shared" si="10"/>
        <v>319310.61</v>
      </c>
      <c r="I29" s="154">
        <f t="shared" ref="I29:I33" si="11">H29/G29</f>
        <v>0.85</v>
      </c>
      <c r="J29" s="152">
        <f t="shared" si="10"/>
        <v>260571.86</v>
      </c>
      <c r="K29" s="154">
        <f t="shared" ref="K29:K33" si="12">J29/G29</f>
        <v>0.69</v>
      </c>
      <c r="L29" s="152">
        <f t="shared" si="10"/>
        <v>377729.17</v>
      </c>
      <c r="M29" s="16">
        <f t="shared" si="10"/>
        <v>0</v>
      </c>
      <c r="N29" s="16">
        <f t="shared" si="10"/>
        <v>0</v>
      </c>
      <c r="O29" s="152">
        <f t="shared" si="10"/>
        <v>0</v>
      </c>
      <c r="P29" s="144" t="s">
        <v>125</v>
      </c>
    </row>
    <row r="30" spans="1:16" ht="163.5" customHeight="1" x14ac:dyDescent="0.4">
      <c r="A30" s="139"/>
      <c r="B30" s="151"/>
      <c r="C30" s="16"/>
      <c r="D30" s="16"/>
      <c r="E30" s="16"/>
      <c r="F30" s="153"/>
      <c r="G30" s="153"/>
      <c r="H30" s="153"/>
      <c r="I30" s="155"/>
      <c r="J30" s="153"/>
      <c r="K30" s="155"/>
      <c r="L30" s="153"/>
      <c r="M30" s="16"/>
      <c r="N30" s="16"/>
      <c r="O30" s="153"/>
      <c r="P30" s="144"/>
    </row>
    <row r="31" spans="1:16" ht="45.75" customHeight="1" x14ac:dyDescent="0.4">
      <c r="A31" s="71"/>
      <c r="B31" s="95" t="s">
        <v>4</v>
      </c>
      <c r="C31" s="17" t="e">
        <f>#REF!</f>
        <v>#REF!</v>
      </c>
      <c r="D31" s="17" t="e">
        <f>#REF!</f>
        <v>#REF!</v>
      </c>
      <c r="E31" s="17" t="e">
        <f>#REF!</f>
        <v>#REF!</v>
      </c>
      <c r="F31" s="17"/>
      <c r="G31" s="17"/>
      <c r="H31" s="17"/>
      <c r="I31" s="19"/>
      <c r="J31" s="17"/>
      <c r="K31" s="19"/>
      <c r="L31" s="17"/>
      <c r="M31" s="19"/>
      <c r="N31" s="19"/>
      <c r="O31" s="17"/>
      <c r="P31" s="144"/>
    </row>
    <row r="32" spans="1:16" ht="89.25" customHeight="1" x14ac:dyDescent="0.4">
      <c r="A32" s="71"/>
      <c r="B32" s="95" t="s">
        <v>92</v>
      </c>
      <c r="C32" s="17"/>
      <c r="D32" s="17"/>
      <c r="E32" s="17"/>
      <c r="F32" s="17">
        <v>337024.7</v>
      </c>
      <c r="G32" s="17">
        <v>343075.68</v>
      </c>
      <c r="H32" s="17">
        <v>296853.48</v>
      </c>
      <c r="I32" s="40">
        <f t="shared" si="11"/>
        <v>0.87</v>
      </c>
      <c r="J32" s="17">
        <v>238114.73</v>
      </c>
      <c r="K32" s="40">
        <f t="shared" si="12"/>
        <v>0.69</v>
      </c>
      <c r="L32" s="39">
        <f>103525.5+57313.09+182237.09</f>
        <v>343075.68</v>
      </c>
      <c r="M32" s="40"/>
      <c r="N32" s="40"/>
      <c r="O32" s="108">
        <f>G32-L32</f>
        <v>0</v>
      </c>
      <c r="P32" s="144"/>
    </row>
    <row r="33" spans="1:16" ht="72" customHeight="1" x14ac:dyDescent="0.4">
      <c r="A33" s="71"/>
      <c r="B33" s="95" t="s">
        <v>11</v>
      </c>
      <c r="C33" s="17"/>
      <c r="D33" s="17"/>
      <c r="E33" s="17"/>
      <c r="F33" s="17">
        <v>19330.93</v>
      </c>
      <c r="G33" s="17">
        <f>F33</f>
        <v>19330.93</v>
      </c>
      <c r="H33" s="17">
        <f>J33</f>
        <v>17947.88</v>
      </c>
      <c r="I33" s="40">
        <f t="shared" si="11"/>
        <v>0.93</v>
      </c>
      <c r="J33" s="17">
        <v>17947.88</v>
      </c>
      <c r="K33" s="40">
        <f t="shared" si="12"/>
        <v>0.93</v>
      </c>
      <c r="L33" s="39">
        <f>15765.27+3565.66</f>
        <v>19330.93</v>
      </c>
      <c r="M33" s="40"/>
      <c r="N33" s="40"/>
      <c r="O33" s="39">
        <f>G33-L33</f>
        <v>0</v>
      </c>
      <c r="P33" s="144"/>
    </row>
    <row r="34" spans="1:16" ht="93" customHeight="1" x14ac:dyDescent="0.4">
      <c r="A34" s="71"/>
      <c r="B34" s="95" t="s">
        <v>13</v>
      </c>
      <c r="C34" s="17"/>
      <c r="D34" s="17"/>
      <c r="E34" s="17"/>
      <c r="F34" s="17">
        <v>15322.56</v>
      </c>
      <c r="G34" s="17">
        <f>F34</f>
        <v>15322.56</v>
      </c>
      <c r="H34" s="17">
        <v>4509.25</v>
      </c>
      <c r="I34" s="40">
        <f t="shared" ref="I34" si="13">H34/G34</f>
        <v>0.28999999999999998</v>
      </c>
      <c r="J34" s="17">
        <v>4509.25</v>
      </c>
      <c r="K34" s="40">
        <f t="shared" ref="K34" si="14">J34/G34</f>
        <v>0.28999999999999998</v>
      </c>
      <c r="L34" s="17">
        <v>15322.56</v>
      </c>
      <c r="M34" s="19"/>
      <c r="N34" s="19"/>
      <c r="O34" s="39">
        <f>G34-L34</f>
        <v>0</v>
      </c>
      <c r="P34" s="144"/>
    </row>
    <row r="35" spans="1:16" ht="87.75" customHeight="1" x14ac:dyDescent="0.4">
      <c r="A35" s="71"/>
      <c r="B35" s="95" t="s">
        <v>5</v>
      </c>
      <c r="C35" s="17" t="e">
        <f>#REF!</f>
        <v>#REF!</v>
      </c>
      <c r="D35" s="17" t="e">
        <f>#REF!</f>
        <v>#REF!</v>
      </c>
      <c r="E35" s="17" t="e">
        <f>#REF!</f>
        <v>#REF!</v>
      </c>
      <c r="F35" s="17"/>
      <c r="G35" s="17"/>
      <c r="H35" s="17"/>
      <c r="I35" s="19"/>
      <c r="J35" s="17"/>
      <c r="K35" s="19"/>
      <c r="L35" s="17"/>
      <c r="M35" s="19"/>
      <c r="N35" s="19"/>
      <c r="O35" s="75"/>
      <c r="P35" s="144"/>
    </row>
    <row r="36" spans="1:16" s="51" customFormat="1" ht="96" customHeight="1" x14ac:dyDescent="0.25">
      <c r="A36" s="105" t="s">
        <v>38</v>
      </c>
      <c r="B36" s="98" t="s">
        <v>45</v>
      </c>
      <c r="C36" s="16" t="e">
        <f>#REF!+#REF!+#REF!+#REF!+#REF!</f>
        <v>#REF!</v>
      </c>
      <c r="D36" s="16" t="e">
        <f>#REF!+#REF!+#REF!+#REF!+#REF!</f>
        <v>#REF!</v>
      </c>
      <c r="E36" s="16" t="e">
        <f>#REF!+#REF!+#REF!+#REF!+#REF!</f>
        <v>#REF!</v>
      </c>
      <c r="F36" s="16"/>
      <c r="G36" s="16"/>
      <c r="H36" s="23"/>
      <c r="I36" s="18"/>
      <c r="J36" s="16"/>
      <c r="K36" s="33"/>
      <c r="L36" s="18"/>
      <c r="M36" s="18"/>
      <c r="N36" s="18"/>
      <c r="O36" s="18"/>
      <c r="P36" s="76" t="s">
        <v>59</v>
      </c>
    </row>
    <row r="37" spans="1:16" ht="372" customHeight="1" x14ac:dyDescent="0.4">
      <c r="A37" s="94" t="s">
        <v>1</v>
      </c>
      <c r="B37" s="99" t="s">
        <v>98</v>
      </c>
      <c r="C37" s="16" t="e">
        <f>SUM(C38:C42)</f>
        <v>#REF!</v>
      </c>
      <c r="D37" s="16" t="e">
        <f>SUM(D38:D42)</f>
        <v>#REF!</v>
      </c>
      <c r="E37" s="16" t="e">
        <f>SUM(E38:E42)</f>
        <v>#REF!</v>
      </c>
      <c r="F37" s="16">
        <f>F38+F39+F40</f>
        <v>174321.68</v>
      </c>
      <c r="G37" s="16">
        <f t="shared" ref="G37:H37" si="15">G38+G39+G40</f>
        <v>181396.78</v>
      </c>
      <c r="H37" s="16">
        <f t="shared" si="15"/>
        <v>141592.97</v>
      </c>
      <c r="I37" s="43">
        <f t="shared" ref="I37" si="16">H37/G37</f>
        <v>0.78</v>
      </c>
      <c r="J37" s="29">
        <f>J38+J39+J40</f>
        <v>139668.68</v>
      </c>
      <c r="K37" s="43">
        <f t="shared" ref="K37" si="17">J37/G37</f>
        <v>0.77</v>
      </c>
      <c r="L37" s="16">
        <f>L38+L39+L40</f>
        <v>181396.78</v>
      </c>
      <c r="M37" s="16">
        <f t="shared" ref="M37:O37" si="18">M38+M39+M40</f>
        <v>0</v>
      </c>
      <c r="N37" s="16">
        <f t="shared" si="18"/>
        <v>0</v>
      </c>
      <c r="O37" s="29">
        <f t="shared" si="18"/>
        <v>0</v>
      </c>
      <c r="P37" s="148" t="s">
        <v>119</v>
      </c>
    </row>
    <row r="38" spans="1:16" ht="48" customHeight="1" x14ac:dyDescent="0.4">
      <c r="A38" s="71"/>
      <c r="B38" s="95" t="s">
        <v>4</v>
      </c>
      <c r="C38" s="17" t="e">
        <f>#REF!</f>
        <v>#REF!</v>
      </c>
      <c r="D38" s="17" t="e">
        <f>#REF!</f>
        <v>#REF!</v>
      </c>
      <c r="E38" s="17" t="e">
        <f>#REF!</f>
        <v>#REF!</v>
      </c>
      <c r="F38" s="17">
        <v>100.1</v>
      </c>
      <c r="G38" s="17">
        <v>85.8</v>
      </c>
      <c r="H38" s="31">
        <v>85.8</v>
      </c>
      <c r="I38" s="40">
        <f t="shared" ref="I38:I40" si="19">H38/G38</f>
        <v>1</v>
      </c>
      <c r="J38" s="31">
        <v>0</v>
      </c>
      <c r="K38" s="32">
        <f t="shared" ref="K38:K40" si="20">J38/G38</f>
        <v>0</v>
      </c>
      <c r="L38" s="46">
        <v>85.8</v>
      </c>
      <c r="M38" s="19"/>
      <c r="N38" s="19"/>
      <c r="O38" s="39">
        <f>G38-L38</f>
        <v>0</v>
      </c>
      <c r="P38" s="164"/>
    </row>
    <row r="39" spans="1:16" ht="48" customHeight="1" x14ac:dyDescent="0.4">
      <c r="A39" s="71"/>
      <c r="B39" s="95" t="s">
        <v>92</v>
      </c>
      <c r="C39" s="17"/>
      <c r="D39" s="17"/>
      <c r="E39" s="17"/>
      <c r="F39" s="17">
        <v>165144.4</v>
      </c>
      <c r="G39" s="17">
        <v>172233.8</v>
      </c>
      <c r="H39" s="31">
        <v>134370.03</v>
      </c>
      <c r="I39" s="40">
        <f t="shared" si="19"/>
        <v>0.78</v>
      </c>
      <c r="J39" s="31">
        <v>132531.54</v>
      </c>
      <c r="K39" s="32">
        <f t="shared" si="20"/>
        <v>0.77</v>
      </c>
      <c r="L39" s="46">
        <v>172233.8</v>
      </c>
      <c r="M39" s="19"/>
      <c r="N39" s="19"/>
      <c r="O39" s="39">
        <f t="shared" ref="O39:O40" si="21">G39-L39</f>
        <v>0</v>
      </c>
      <c r="P39" s="164"/>
    </row>
    <row r="40" spans="1:16" ht="48" customHeight="1" x14ac:dyDescent="0.4">
      <c r="A40" s="71"/>
      <c r="B40" s="95" t="s">
        <v>11</v>
      </c>
      <c r="C40" s="17"/>
      <c r="D40" s="17"/>
      <c r="E40" s="17"/>
      <c r="F40" s="17">
        <v>9077.18</v>
      </c>
      <c r="G40" s="17">
        <v>9077.18</v>
      </c>
      <c r="H40" s="31">
        <f>J40</f>
        <v>7137.14</v>
      </c>
      <c r="I40" s="40">
        <f t="shared" si="19"/>
        <v>0.79</v>
      </c>
      <c r="J40" s="31">
        <v>7137.14</v>
      </c>
      <c r="K40" s="32">
        <f t="shared" si="20"/>
        <v>0.79</v>
      </c>
      <c r="L40" s="47">
        <v>9077.18</v>
      </c>
      <c r="M40" s="19"/>
      <c r="N40" s="19"/>
      <c r="O40" s="39">
        <f t="shared" si="21"/>
        <v>0</v>
      </c>
      <c r="P40" s="164"/>
    </row>
    <row r="41" spans="1:16" ht="48" customHeight="1" x14ac:dyDescent="0.4">
      <c r="A41" s="71"/>
      <c r="B41" s="95" t="s">
        <v>13</v>
      </c>
      <c r="C41" s="17" t="e">
        <f>#REF!</f>
        <v>#REF!</v>
      </c>
      <c r="D41" s="17" t="e">
        <f>#REF!</f>
        <v>#REF!</v>
      </c>
      <c r="E41" s="17" t="e">
        <f>#REF!</f>
        <v>#REF!</v>
      </c>
      <c r="F41" s="17"/>
      <c r="G41" s="17"/>
      <c r="H41" s="17"/>
      <c r="I41" s="24"/>
      <c r="J41" s="31"/>
      <c r="K41" s="77"/>
      <c r="L41" s="31"/>
      <c r="M41" s="19"/>
      <c r="N41" s="19"/>
      <c r="O41" s="17"/>
      <c r="P41" s="164"/>
    </row>
    <row r="42" spans="1:16" ht="48" customHeight="1" x14ac:dyDescent="0.4">
      <c r="A42" s="71"/>
      <c r="B42" s="95" t="s">
        <v>5</v>
      </c>
      <c r="C42" s="17" t="e">
        <f>#REF!</f>
        <v>#REF!</v>
      </c>
      <c r="D42" s="17" t="e">
        <f>#REF!</f>
        <v>#REF!</v>
      </c>
      <c r="E42" s="17" t="e">
        <f>#REF!</f>
        <v>#REF!</v>
      </c>
      <c r="F42" s="17"/>
      <c r="G42" s="17"/>
      <c r="H42" s="17"/>
      <c r="I42" s="19"/>
      <c r="J42" s="31"/>
      <c r="K42" s="32"/>
      <c r="L42" s="31"/>
      <c r="M42" s="19"/>
      <c r="N42" s="19"/>
      <c r="O42" s="17"/>
      <c r="P42" s="164"/>
    </row>
    <row r="43" spans="1:16" s="51" customFormat="1" ht="253.5" customHeight="1" x14ac:dyDescent="0.25">
      <c r="A43" s="105" t="s">
        <v>10</v>
      </c>
      <c r="B43" s="98" t="s">
        <v>126</v>
      </c>
      <c r="C43" s="16" t="e">
        <f>C44+C47+C48+#REF!+#REF!</f>
        <v>#REF!</v>
      </c>
      <c r="D43" s="16" t="e">
        <f>D44+D47+D48+#REF!+#REF!</f>
        <v>#REF!</v>
      </c>
      <c r="E43" s="16" t="e">
        <f>E44+E47+E48+#REF!+#REF!</f>
        <v>#REF!</v>
      </c>
      <c r="F43" s="16">
        <f>F44+F45+F46+F47</f>
        <v>273262.64</v>
      </c>
      <c r="G43" s="16">
        <f>G44+G45+G46+G47</f>
        <v>273915.15000000002</v>
      </c>
      <c r="H43" s="16">
        <f>H44+H45+H46+H47+H48</f>
        <v>19760.75</v>
      </c>
      <c r="I43" s="130">
        <f>H43/G43</f>
        <v>7.0000000000000007E-2</v>
      </c>
      <c r="J43" s="29">
        <f>SUM(J44:J48)</f>
        <v>19108.25</v>
      </c>
      <c r="K43" s="30">
        <f>J43/G43</f>
        <v>7.0000000000000007E-2</v>
      </c>
      <c r="L43" s="29">
        <f>L44+L45+L46+L47</f>
        <v>273915.15000000002</v>
      </c>
      <c r="M43" s="18"/>
      <c r="N43" s="18"/>
      <c r="O43" s="100">
        <f>G43-L43</f>
        <v>0</v>
      </c>
      <c r="P43" s="165" t="s">
        <v>107</v>
      </c>
    </row>
    <row r="44" spans="1:16" s="49" customFormat="1" ht="38.25" customHeight="1" x14ac:dyDescent="0.25">
      <c r="A44" s="78"/>
      <c r="B44" s="95" t="s">
        <v>4</v>
      </c>
      <c r="C44" s="17" t="e">
        <f>#REF!+#REF!</f>
        <v>#REF!</v>
      </c>
      <c r="D44" s="17" t="e">
        <f>#REF!+#REF!</f>
        <v>#REF!</v>
      </c>
      <c r="E44" s="17" t="e">
        <f>#REF!+#REF!</f>
        <v>#REF!</v>
      </c>
      <c r="F44" s="17"/>
      <c r="G44" s="17"/>
      <c r="H44" s="31"/>
      <c r="I44" s="32"/>
      <c r="J44" s="31"/>
      <c r="K44" s="32"/>
      <c r="L44" s="17"/>
      <c r="M44" s="19"/>
      <c r="N44" s="19"/>
      <c r="O44" s="100">
        <f t="shared" ref="O44:O47" si="22">G44-L44</f>
        <v>0</v>
      </c>
      <c r="P44" s="165"/>
    </row>
    <row r="45" spans="1:16" s="49" customFormat="1" ht="48.75" customHeight="1" x14ac:dyDescent="0.25">
      <c r="A45" s="78"/>
      <c r="B45" s="95" t="s">
        <v>92</v>
      </c>
      <c r="C45" s="17"/>
      <c r="D45" s="17"/>
      <c r="E45" s="17"/>
      <c r="F45" s="17">
        <v>249407.3</v>
      </c>
      <c r="G45" s="17">
        <f>249407.3+652.5</f>
        <v>250059.8</v>
      </c>
      <c r="H45" s="31">
        <v>17808.57</v>
      </c>
      <c r="I45" s="32">
        <f>H45/G45</f>
        <v>7.0000000000000007E-2</v>
      </c>
      <c r="J45" s="108">
        <v>17156.07</v>
      </c>
      <c r="K45" s="32">
        <f>J45/G45</f>
        <v>7.0000000000000007E-2</v>
      </c>
      <c r="L45" s="46">
        <f>249407.3+652.5</f>
        <v>250059.8</v>
      </c>
      <c r="M45" s="19"/>
      <c r="N45" s="19"/>
      <c r="O45" s="100">
        <f t="shared" si="22"/>
        <v>0</v>
      </c>
      <c r="P45" s="165"/>
    </row>
    <row r="46" spans="1:16" s="49" customFormat="1" ht="48.75" customHeight="1" x14ac:dyDescent="0.25">
      <c r="A46" s="78"/>
      <c r="B46" s="95" t="s">
        <v>11</v>
      </c>
      <c r="C46" s="17"/>
      <c r="D46" s="17"/>
      <c r="E46" s="17"/>
      <c r="F46" s="31">
        <v>13126.7</v>
      </c>
      <c r="G46" s="17">
        <v>13126.7</v>
      </c>
      <c r="H46" s="31">
        <v>1952.18</v>
      </c>
      <c r="I46" s="32">
        <f>H46/G46</f>
        <v>0.15</v>
      </c>
      <c r="J46" s="31">
        <v>1952.18</v>
      </c>
      <c r="K46" s="31">
        <f>J46/G46</f>
        <v>0.15</v>
      </c>
      <c r="L46" s="17">
        <v>13126.7</v>
      </c>
      <c r="M46" s="19"/>
      <c r="N46" s="19"/>
      <c r="O46" s="100">
        <f t="shared" si="22"/>
        <v>0</v>
      </c>
      <c r="P46" s="165"/>
    </row>
    <row r="47" spans="1:16" s="49" customFormat="1" ht="48.75" customHeight="1" x14ac:dyDescent="0.25">
      <c r="A47" s="78"/>
      <c r="B47" s="95" t="s">
        <v>13</v>
      </c>
      <c r="C47" s="17"/>
      <c r="D47" s="17"/>
      <c r="E47" s="17"/>
      <c r="F47" s="17">
        <v>10728.64</v>
      </c>
      <c r="G47" s="17">
        <v>10728.65</v>
      </c>
      <c r="H47" s="31"/>
      <c r="I47" s="32"/>
      <c r="J47" s="107"/>
      <c r="K47" s="32"/>
      <c r="L47" s="46">
        <v>10728.65</v>
      </c>
      <c r="M47" s="19"/>
      <c r="N47" s="19"/>
      <c r="O47" s="100">
        <f t="shared" si="22"/>
        <v>0</v>
      </c>
      <c r="P47" s="165"/>
    </row>
    <row r="48" spans="1:16" s="49" customFormat="1" ht="48.75" customHeight="1" x14ac:dyDescent="0.25">
      <c r="A48" s="78"/>
      <c r="B48" s="95" t="s">
        <v>5</v>
      </c>
      <c r="C48" s="17"/>
      <c r="D48" s="17"/>
      <c r="E48" s="17"/>
      <c r="F48" s="17"/>
      <c r="G48" s="17"/>
      <c r="H48" s="31"/>
      <c r="I48" s="32"/>
      <c r="J48" s="31"/>
      <c r="K48" s="32"/>
      <c r="L48" s="17"/>
      <c r="M48" s="19"/>
      <c r="N48" s="19"/>
      <c r="O48" s="19"/>
      <c r="P48" s="165"/>
    </row>
    <row r="49" spans="1:16" s="49" customFormat="1" ht="339" customHeight="1" x14ac:dyDescent="0.25">
      <c r="A49" s="105" t="s">
        <v>39</v>
      </c>
      <c r="B49" s="98" t="s">
        <v>99</v>
      </c>
      <c r="C49" s="16" t="e">
        <f>SUM(C54:C54)</f>
        <v>#REF!</v>
      </c>
      <c r="D49" s="16" t="e">
        <f>SUM(D54:D54)</f>
        <v>#REF!</v>
      </c>
      <c r="E49" s="16" t="e">
        <f>SUM(E54:E54)</f>
        <v>#REF!</v>
      </c>
      <c r="F49" s="16">
        <f>F50+F51+F52+F53</f>
        <v>8804.68</v>
      </c>
      <c r="G49" s="16">
        <f t="shared" ref="G49:H49" si="23">G50+G51+G52+G53</f>
        <v>8804.68</v>
      </c>
      <c r="H49" s="16">
        <f t="shared" si="23"/>
        <v>5591.65</v>
      </c>
      <c r="I49" s="43">
        <f t="shared" ref="I49:I51" si="24">H49/G49</f>
        <v>0.64</v>
      </c>
      <c r="J49" s="16">
        <f>J50+J51+J52+J53</f>
        <v>4867.62</v>
      </c>
      <c r="K49" s="43">
        <f t="shared" ref="K49:K51" si="25">J49/G49</f>
        <v>0.55000000000000004</v>
      </c>
      <c r="L49" s="16">
        <f>L50+L51+L52+L53</f>
        <v>8804.68</v>
      </c>
      <c r="M49" s="16"/>
      <c r="N49" s="16"/>
      <c r="O49" s="16">
        <f>G49-L49</f>
        <v>0</v>
      </c>
      <c r="P49" s="144" t="s">
        <v>111</v>
      </c>
    </row>
    <row r="50" spans="1:16" s="49" customFormat="1" ht="39" customHeight="1" x14ac:dyDescent="0.25">
      <c r="A50" s="71"/>
      <c r="B50" s="95" t="s">
        <v>4</v>
      </c>
      <c r="C50" s="16"/>
      <c r="D50" s="16"/>
      <c r="E50" s="16"/>
      <c r="F50" s="16"/>
      <c r="G50" s="16"/>
      <c r="H50" s="16"/>
      <c r="I50" s="18"/>
      <c r="J50" s="16"/>
      <c r="K50" s="18"/>
      <c r="L50" s="16"/>
      <c r="M50" s="16"/>
      <c r="N50" s="16"/>
      <c r="O50" s="16">
        <f t="shared" ref="O50" si="26">G50-L50</f>
        <v>0</v>
      </c>
      <c r="P50" s="144"/>
    </row>
    <row r="51" spans="1:16" s="49" customFormat="1" ht="75" customHeight="1" x14ac:dyDescent="0.25">
      <c r="A51" s="71"/>
      <c r="B51" s="95" t="s">
        <v>16</v>
      </c>
      <c r="C51" s="16"/>
      <c r="D51" s="16"/>
      <c r="E51" s="16"/>
      <c r="F51" s="39">
        <v>8804.68</v>
      </c>
      <c r="G51" s="39">
        <v>8804.68</v>
      </c>
      <c r="H51" s="39">
        <v>5591.65</v>
      </c>
      <c r="I51" s="40">
        <f t="shared" si="24"/>
        <v>0.64</v>
      </c>
      <c r="J51" s="39">
        <v>4867.62</v>
      </c>
      <c r="K51" s="40">
        <f t="shared" si="25"/>
        <v>0.55000000000000004</v>
      </c>
      <c r="L51" s="16">
        <f>511.1+8024.6+218.07+50.91</f>
        <v>8804.68</v>
      </c>
      <c r="M51" s="16"/>
      <c r="N51" s="16"/>
      <c r="O51" s="16">
        <f>G51-L51</f>
        <v>0</v>
      </c>
      <c r="P51" s="144"/>
    </row>
    <row r="52" spans="1:16" s="49" customFormat="1" ht="39" customHeight="1" x14ac:dyDescent="0.25">
      <c r="A52" s="71"/>
      <c r="B52" s="95" t="s">
        <v>11</v>
      </c>
      <c r="C52" s="16"/>
      <c r="D52" s="16"/>
      <c r="E52" s="16"/>
      <c r="F52" s="16"/>
      <c r="G52" s="16"/>
      <c r="H52" s="16"/>
      <c r="I52" s="18"/>
      <c r="J52" s="16"/>
      <c r="K52" s="18"/>
      <c r="L52" s="15"/>
      <c r="M52" s="16"/>
      <c r="N52" s="16"/>
      <c r="O52" s="16"/>
      <c r="P52" s="144"/>
    </row>
    <row r="53" spans="1:16" s="49" customFormat="1" ht="86.25" customHeight="1" x14ac:dyDescent="0.25">
      <c r="A53" s="71"/>
      <c r="B53" s="95" t="s">
        <v>13</v>
      </c>
      <c r="C53" s="16"/>
      <c r="D53" s="16"/>
      <c r="E53" s="16"/>
      <c r="F53" s="16"/>
      <c r="G53" s="16"/>
      <c r="H53" s="16"/>
      <c r="I53" s="18"/>
      <c r="J53" s="16"/>
      <c r="K53" s="18"/>
      <c r="L53" s="16"/>
      <c r="M53" s="16"/>
      <c r="N53" s="16"/>
      <c r="O53" s="16"/>
      <c r="P53" s="144"/>
    </row>
    <row r="54" spans="1:16" s="49" customFormat="1" ht="51.75" customHeight="1" x14ac:dyDescent="0.25">
      <c r="A54" s="71"/>
      <c r="B54" s="95" t="s">
        <v>5</v>
      </c>
      <c r="C54" s="17" t="e">
        <f>#REF!+#REF!</f>
        <v>#REF!</v>
      </c>
      <c r="D54" s="17" t="e">
        <f>#REF!+#REF!</f>
        <v>#REF!</v>
      </c>
      <c r="E54" s="17" t="e">
        <f>#REF!+#REF!</f>
        <v>#REF!</v>
      </c>
      <c r="F54" s="17"/>
      <c r="G54" s="17"/>
      <c r="H54" s="17"/>
      <c r="I54" s="19"/>
      <c r="J54" s="17"/>
      <c r="K54" s="19"/>
      <c r="L54" s="17"/>
      <c r="M54" s="17"/>
      <c r="N54" s="17"/>
      <c r="O54" s="16">
        <f>G54-L54</f>
        <v>0</v>
      </c>
      <c r="P54" s="144"/>
    </row>
    <row r="55" spans="1:16" s="52" customFormat="1" ht="409.5" customHeight="1" x14ac:dyDescent="0.25">
      <c r="A55" s="105" t="s">
        <v>20</v>
      </c>
      <c r="B55" s="98" t="s">
        <v>94</v>
      </c>
      <c r="C55" s="16">
        <f>SUM(C56:C60)</f>
        <v>0</v>
      </c>
      <c r="D55" s="16">
        <f>SUM(D56:D60)</f>
        <v>0</v>
      </c>
      <c r="E55" s="16">
        <f>SUM(E56:E60)</f>
        <v>0</v>
      </c>
      <c r="F55" s="29">
        <f>F56+F57+F58+F59+F60</f>
        <v>14754.16</v>
      </c>
      <c r="G55" s="29">
        <f>G56+G57+G58+G59+G60</f>
        <v>14754.16</v>
      </c>
      <c r="H55" s="93">
        <f t="shared" ref="H55" si="27">H56+H57+H58+H59+H60</f>
        <v>7131.25</v>
      </c>
      <c r="I55" s="30">
        <f>H55/G55</f>
        <v>0.48</v>
      </c>
      <c r="J55" s="29">
        <f>J56+J57+J58+J59+J60</f>
        <v>7091.01</v>
      </c>
      <c r="K55" s="30">
        <f>J55/G55</f>
        <v>0.48</v>
      </c>
      <c r="L55" s="29">
        <f>L56+L57+L58+L59+L60</f>
        <v>12391.88</v>
      </c>
      <c r="M55" s="29">
        <f t="shared" ref="M55" si="28">M56+M57+M58+M59+M60</f>
        <v>0</v>
      </c>
      <c r="N55" s="29">
        <f t="shared" ref="N55" si="29">N56+N57+N58+N59+N60</f>
        <v>0</v>
      </c>
      <c r="O55" s="16">
        <f>O56+O57+O58+O59+O60</f>
        <v>2362.2800000000002</v>
      </c>
      <c r="P55" s="172" t="s">
        <v>123</v>
      </c>
    </row>
    <row r="56" spans="1:16" s="49" customFormat="1" ht="32.25" customHeight="1" x14ac:dyDescent="0.25">
      <c r="A56" s="105"/>
      <c r="B56" s="95" t="s">
        <v>4</v>
      </c>
      <c r="C56" s="17"/>
      <c r="D56" s="17"/>
      <c r="E56" s="17"/>
      <c r="F56" s="17">
        <v>722.8</v>
      </c>
      <c r="G56" s="17">
        <v>722.8</v>
      </c>
      <c r="H56" s="17">
        <v>473.1</v>
      </c>
      <c r="I56" s="40">
        <f t="shared" ref="I56:I58" si="30">H56/G56</f>
        <v>0.65</v>
      </c>
      <c r="J56" s="17">
        <v>462.16</v>
      </c>
      <c r="K56" s="19">
        <f>J56/G56</f>
        <v>0.64</v>
      </c>
      <c r="L56" s="17">
        <v>462.16</v>
      </c>
      <c r="M56" s="17"/>
      <c r="N56" s="17"/>
      <c r="O56" s="39">
        <f>G56-L56</f>
        <v>260.64</v>
      </c>
      <c r="P56" s="172"/>
    </row>
    <row r="57" spans="1:16" s="49" customFormat="1" ht="32.25" customHeight="1" x14ac:dyDescent="0.25">
      <c r="A57" s="105"/>
      <c r="B57" s="95" t="s">
        <v>92</v>
      </c>
      <c r="C57" s="17"/>
      <c r="D57" s="17"/>
      <c r="E57" s="17"/>
      <c r="F57" s="17">
        <v>3492</v>
      </c>
      <c r="G57" s="17">
        <v>3492</v>
      </c>
      <c r="H57" s="17">
        <v>1092</v>
      </c>
      <c r="I57" s="40">
        <f t="shared" si="30"/>
        <v>0.31</v>
      </c>
      <c r="J57" s="17">
        <v>1062.7</v>
      </c>
      <c r="K57" s="40">
        <f t="shared" ref="K57:K58" si="31">J57/G57</f>
        <v>0.3</v>
      </c>
      <c r="L57" s="17">
        <f>1092+1921.4</f>
        <v>3013.4</v>
      </c>
      <c r="M57" s="17"/>
      <c r="N57" s="17"/>
      <c r="O57" s="108">
        <f>G57-L57</f>
        <v>478.6</v>
      </c>
      <c r="P57" s="172"/>
    </row>
    <row r="58" spans="1:16" s="49" customFormat="1" ht="32.25" customHeight="1" x14ac:dyDescent="0.25">
      <c r="A58" s="105"/>
      <c r="B58" s="95" t="s">
        <v>11</v>
      </c>
      <c r="C58" s="17"/>
      <c r="D58" s="17"/>
      <c r="E58" s="17"/>
      <c r="F58" s="17">
        <v>10539.36</v>
      </c>
      <c r="G58" s="17">
        <v>10539.36</v>
      </c>
      <c r="H58" s="17">
        <f>J58</f>
        <v>5566.15</v>
      </c>
      <c r="I58" s="40">
        <f t="shared" si="30"/>
        <v>0.53</v>
      </c>
      <c r="J58" s="17">
        <v>5566.15</v>
      </c>
      <c r="K58" s="40">
        <f t="shared" si="31"/>
        <v>0.53</v>
      </c>
      <c r="L58" s="17">
        <v>8916.32</v>
      </c>
      <c r="M58" s="17"/>
      <c r="N58" s="17"/>
      <c r="O58" s="108">
        <f t="shared" ref="O58" si="32">G58-L58</f>
        <v>1623.04</v>
      </c>
      <c r="P58" s="172"/>
    </row>
    <row r="59" spans="1:16" s="49" customFormat="1" ht="32.25" customHeight="1" x14ac:dyDescent="0.25">
      <c r="A59" s="105"/>
      <c r="B59" s="95" t="s">
        <v>13</v>
      </c>
      <c r="C59" s="17"/>
      <c r="D59" s="17"/>
      <c r="E59" s="17"/>
      <c r="F59" s="17"/>
      <c r="G59" s="17"/>
      <c r="H59" s="17"/>
      <c r="I59" s="19"/>
      <c r="J59" s="17"/>
      <c r="K59" s="19"/>
      <c r="L59" s="17"/>
      <c r="M59" s="17"/>
      <c r="N59" s="17"/>
      <c r="O59" s="17"/>
      <c r="P59" s="172"/>
    </row>
    <row r="60" spans="1:16" s="49" customFormat="1" ht="32.25" customHeight="1" x14ac:dyDescent="0.25">
      <c r="A60" s="105"/>
      <c r="B60" s="95" t="s">
        <v>5</v>
      </c>
      <c r="C60" s="17"/>
      <c r="D60" s="17"/>
      <c r="E60" s="17"/>
      <c r="F60" s="17"/>
      <c r="G60" s="17"/>
      <c r="H60" s="17"/>
      <c r="I60" s="19"/>
      <c r="J60" s="17"/>
      <c r="K60" s="19"/>
      <c r="L60" s="17"/>
      <c r="M60" s="17"/>
      <c r="N60" s="17"/>
      <c r="O60" s="17"/>
      <c r="P60" s="172"/>
    </row>
    <row r="61" spans="1:16" s="49" customFormat="1" ht="138.75" customHeight="1" outlineLevel="1" x14ac:dyDescent="0.25">
      <c r="A61" s="105" t="s">
        <v>21</v>
      </c>
      <c r="B61" s="98" t="s">
        <v>46</v>
      </c>
      <c r="C61" s="16" t="e">
        <f>#REF!+#REF!+#REF!+#REF!+#REF!</f>
        <v>#REF!</v>
      </c>
      <c r="D61" s="16" t="e">
        <f>#REF!+#REF!+#REF!+#REF!+#REF!</f>
        <v>#REF!</v>
      </c>
      <c r="E61" s="16" t="e">
        <f>#REF!+#REF!+#REF!+#REF!+#REF!</f>
        <v>#REF!</v>
      </c>
      <c r="F61" s="25"/>
      <c r="G61" s="25"/>
      <c r="H61" s="28"/>
      <c r="I61" s="26"/>
      <c r="J61" s="25"/>
      <c r="K61" s="26"/>
      <c r="L61" s="26"/>
      <c r="M61" s="18"/>
      <c r="N61" s="18"/>
      <c r="O61" s="18"/>
      <c r="P61" s="76" t="s">
        <v>59</v>
      </c>
    </row>
    <row r="62" spans="1:16" s="53" customFormat="1" ht="106.5" customHeight="1" x14ac:dyDescent="0.25">
      <c r="A62" s="105" t="s">
        <v>22</v>
      </c>
      <c r="B62" s="98" t="s">
        <v>47</v>
      </c>
      <c r="C62" s="16" t="e">
        <f>#REF!+#REF!+#REF!+#REF!+#REF!</f>
        <v>#REF!</v>
      </c>
      <c r="D62" s="16" t="e">
        <f>#REF!+#REF!+#REF!+#REF!+#REF!</f>
        <v>#REF!</v>
      </c>
      <c r="E62" s="16" t="e">
        <f>#REF!+#REF!+#REF!+#REF!+#REF!</f>
        <v>#REF!</v>
      </c>
      <c r="F62" s="25"/>
      <c r="G62" s="25"/>
      <c r="H62" s="28"/>
      <c r="I62" s="26"/>
      <c r="J62" s="25"/>
      <c r="K62" s="26"/>
      <c r="L62" s="26"/>
      <c r="M62" s="18"/>
      <c r="N62" s="18"/>
      <c r="O62" s="18"/>
      <c r="P62" s="76" t="s">
        <v>59</v>
      </c>
    </row>
    <row r="63" spans="1:16" s="55" customFormat="1" ht="408" customHeight="1" x14ac:dyDescent="0.25">
      <c r="A63" s="137" t="s">
        <v>23</v>
      </c>
      <c r="B63" s="150" t="s">
        <v>108</v>
      </c>
      <c r="C63" s="54"/>
      <c r="D63" s="54"/>
      <c r="E63" s="54"/>
      <c r="F63" s="152">
        <f>SUM(F67:F71)</f>
        <v>1657537.01</v>
      </c>
      <c r="G63" s="152">
        <f t="shared" ref="G63:J63" si="33">SUM(G67:G71)</f>
        <v>2085620.97</v>
      </c>
      <c r="H63" s="152">
        <f t="shared" si="33"/>
        <v>1136302.8999999999</v>
      </c>
      <c r="I63" s="182">
        <f>H63/G63</f>
        <v>0.54</v>
      </c>
      <c r="J63" s="152">
        <f t="shared" si="33"/>
        <v>1103540.22</v>
      </c>
      <c r="K63" s="182">
        <f>J63/G63</f>
        <v>0.53</v>
      </c>
      <c r="L63" s="152">
        <f>SUM(L67:L71)</f>
        <v>2047310.87</v>
      </c>
      <c r="M63" s="152">
        <f t="shared" ref="M63:N63" si="34">SUM(M67:M71)</f>
        <v>2085620.97</v>
      </c>
      <c r="N63" s="152">
        <f t="shared" si="34"/>
        <v>0</v>
      </c>
      <c r="O63" s="152">
        <f>SUM(O67:O71)</f>
        <v>38310.1</v>
      </c>
      <c r="P63" s="137"/>
    </row>
    <row r="64" spans="1:16" s="55" customFormat="1" ht="408" customHeight="1" x14ac:dyDescent="0.25">
      <c r="A64" s="138"/>
      <c r="B64" s="178"/>
      <c r="C64" s="54"/>
      <c r="D64" s="54"/>
      <c r="E64" s="54"/>
      <c r="F64" s="173"/>
      <c r="G64" s="173"/>
      <c r="H64" s="173"/>
      <c r="I64" s="183"/>
      <c r="J64" s="173"/>
      <c r="K64" s="183"/>
      <c r="L64" s="173"/>
      <c r="M64" s="173"/>
      <c r="N64" s="173"/>
      <c r="O64" s="173"/>
      <c r="P64" s="138"/>
    </row>
    <row r="65" spans="1:16" s="55" customFormat="1" ht="408" customHeight="1" x14ac:dyDescent="0.25">
      <c r="A65" s="138"/>
      <c r="B65" s="178"/>
      <c r="C65" s="54"/>
      <c r="D65" s="54"/>
      <c r="E65" s="54"/>
      <c r="F65" s="173"/>
      <c r="G65" s="173"/>
      <c r="H65" s="173"/>
      <c r="I65" s="183"/>
      <c r="J65" s="173"/>
      <c r="K65" s="183"/>
      <c r="L65" s="173"/>
      <c r="M65" s="173"/>
      <c r="N65" s="173"/>
      <c r="O65" s="173"/>
      <c r="P65" s="138"/>
    </row>
    <row r="66" spans="1:16" s="55" customFormat="1" ht="51.75" customHeight="1" x14ac:dyDescent="0.25">
      <c r="A66" s="139"/>
      <c r="B66" s="151"/>
      <c r="C66" s="54"/>
      <c r="D66" s="54"/>
      <c r="E66" s="54"/>
      <c r="F66" s="153"/>
      <c r="G66" s="153"/>
      <c r="H66" s="153"/>
      <c r="I66" s="184"/>
      <c r="J66" s="153"/>
      <c r="K66" s="184"/>
      <c r="L66" s="153"/>
      <c r="M66" s="153"/>
      <c r="N66" s="153"/>
      <c r="O66" s="153"/>
      <c r="P66" s="139"/>
    </row>
    <row r="67" spans="1:16" s="57" customFormat="1" ht="30.75" customHeight="1" x14ac:dyDescent="0.25">
      <c r="A67" s="71"/>
      <c r="B67" s="103" t="s">
        <v>4</v>
      </c>
      <c r="C67" s="56"/>
      <c r="D67" s="56"/>
      <c r="E67" s="56"/>
      <c r="F67" s="17">
        <f>F73+F109</f>
        <v>17057.03</v>
      </c>
      <c r="G67" s="17">
        <f t="shared" ref="F67:H71" si="35">G73+G109</f>
        <v>18542.34</v>
      </c>
      <c r="H67" s="17">
        <f t="shared" si="35"/>
        <v>16104.24</v>
      </c>
      <c r="I67" s="24">
        <f t="shared" ref="I67:I96" si="36">H67/G67</f>
        <v>0.86899999999999999</v>
      </c>
      <c r="J67" s="17">
        <f>J73+J109</f>
        <v>9822.6</v>
      </c>
      <c r="K67" s="24">
        <f t="shared" ref="K67:K72" si="37">J67/G67</f>
        <v>0.53</v>
      </c>
      <c r="L67" s="17">
        <f>L73+L109</f>
        <v>16104.24</v>
      </c>
      <c r="M67" s="17">
        <f t="shared" ref="M67:N70" si="38">M73+M109</f>
        <v>18542.34</v>
      </c>
      <c r="N67" s="21">
        <f t="shared" si="38"/>
        <v>0</v>
      </c>
      <c r="O67" s="17">
        <f>O73+O109</f>
        <v>2438.1</v>
      </c>
      <c r="P67" s="79"/>
    </row>
    <row r="68" spans="1:16" s="57" customFormat="1" ht="30.75" customHeight="1" x14ac:dyDescent="0.25">
      <c r="A68" s="71"/>
      <c r="B68" s="103" t="s">
        <v>60</v>
      </c>
      <c r="C68" s="56"/>
      <c r="D68" s="56"/>
      <c r="E68" s="56"/>
      <c r="F68" s="17">
        <f t="shared" si="35"/>
        <v>1437380.31</v>
      </c>
      <c r="G68" s="17">
        <f t="shared" si="35"/>
        <v>1863978.96</v>
      </c>
      <c r="H68" s="17">
        <f>H74+H110</f>
        <v>1000015.2</v>
      </c>
      <c r="I68" s="24">
        <f t="shared" si="36"/>
        <v>0.53600000000000003</v>
      </c>
      <c r="J68" s="17">
        <f>J74+J110</f>
        <v>973534.16</v>
      </c>
      <c r="K68" s="24">
        <f t="shared" si="37"/>
        <v>0.52200000000000002</v>
      </c>
      <c r="L68" s="17">
        <f>L74+L110</f>
        <v>1836699.01</v>
      </c>
      <c r="M68" s="17">
        <f t="shared" si="38"/>
        <v>1863978.96</v>
      </c>
      <c r="N68" s="21">
        <f t="shared" si="38"/>
        <v>0</v>
      </c>
      <c r="O68" s="17">
        <f>O74+O110</f>
        <v>27279.95</v>
      </c>
      <c r="P68" s="79"/>
    </row>
    <row r="69" spans="1:16" s="57" customFormat="1" ht="30.75" customHeight="1" x14ac:dyDescent="0.25">
      <c r="A69" s="71"/>
      <c r="B69" s="103" t="s">
        <v>11</v>
      </c>
      <c r="C69" s="56"/>
      <c r="D69" s="56"/>
      <c r="E69" s="56"/>
      <c r="F69" s="17">
        <f t="shared" si="35"/>
        <v>201343.76</v>
      </c>
      <c r="G69" s="17">
        <f t="shared" si="35"/>
        <v>201289.26</v>
      </c>
      <c r="H69" s="17">
        <f t="shared" si="35"/>
        <v>120183.46</v>
      </c>
      <c r="I69" s="24">
        <f t="shared" si="36"/>
        <v>0.59699999999999998</v>
      </c>
      <c r="J69" s="31">
        <f>J75+J111</f>
        <v>120183.46</v>
      </c>
      <c r="K69" s="24">
        <f t="shared" si="37"/>
        <v>0.59699999999999998</v>
      </c>
      <c r="L69" s="17">
        <f>L75+L111</f>
        <v>194507.62</v>
      </c>
      <c r="M69" s="17">
        <f t="shared" si="38"/>
        <v>201289.26</v>
      </c>
      <c r="N69" s="21">
        <f t="shared" si="38"/>
        <v>0</v>
      </c>
      <c r="O69" s="17">
        <f>O75+O111</f>
        <v>6781.64</v>
      </c>
      <c r="P69" s="80"/>
    </row>
    <row r="70" spans="1:16" s="57" customFormat="1" ht="30.75" customHeight="1" x14ac:dyDescent="0.25">
      <c r="A70" s="70"/>
      <c r="B70" s="104" t="s">
        <v>13</v>
      </c>
      <c r="C70" s="58"/>
      <c r="D70" s="58"/>
      <c r="E70" s="58"/>
      <c r="F70" s="31">
        <f t="shared" si="35"/>
        <v>1755.91</v>
      </c>
      <c r="G70" s="31">
        <f t="shared" si="35"/>
        <v>1810.41</v>
      </c>
      <c r="H70" s="31">
        <f t="shared" si="35"/>
        <v>0</v>
      </c>
      <c r="I70" s="77">
        <f t="shared" si="36"/>
        <v>0</v>
      </c>
      <c r="J70" s="31">
        <f>J76+J112</f>
        <v>0</v>
      </c>
      <c r="K70" s="77">
        <f t="shared" si="37"/>
        <v>0</v>
      </c>
      <c r="L70" s="31">
        <f>L76+L112</f>
        <v>0</v>
      </c>
      <c r="M70" s="31">
        <f t="shared" si="38"/>
        <v>1810.41</v>
      </c>
      <c r="N70" s="31">
        <f t="shared" si="38"/>
        <v>0</v>
      </c>
      <c r="O70" s="31">
        <f>O76+O112</f>
        <v>1810.41</v>
      </c>
      <c r="P70" s="81"/>
    </row>
    <row r="71" spans="1:16" s="57" customFormat="1" ht="30.75" customHeight="1" collapsed="1" x14ac:dyDescent="0.25">
      <c r="A71" s="70"/>
      <c r="B71" s="104" t="s">
        <v>5</v>
      </c>
      <c r="C71" s="58"/>
      <c r="D71" s="58"/>
      <c r="E71" s="58"/>
      <c r="F71" s="31">
        <f t="shared" si="35"/>
        <v>0</v>
      </c>
      <c r="G71" s="31">
        <f t="shared" si="35"/>
        <v>0</v>
      </c>
      <c r="H71" s="31">
        <f t="shared" si="35"/>
        <v>0</v>
      </c>
      <c r="I71" s="77"/>
      <c r="J71" s="31"/>
      <c r="K71" s="77"/>
      <c r="L71" s="31">
        <f>L77+L113</f>
        <v>0</v>
      </c>
      <c r="M71" s="31"/>
      <c r="N71" s="31"/>
      <c r="O71" s="77"/>
      <c r="P71" s="81"/>
    </row>
    <row r="72" spans="1:16" s="55" customFormat="1" ht="25.5" x14ac:dyDescent="0.25">
      <c r="A72" s="125" t="s">
        <v>72</v>
      </c>
      <c r="B72" s="121" t="s">
        <v>85</v>
      </c>
      <c r="C72" s="59"/>
      <c r="D72" s="59"/>
      <c r="E72" s="59"/>
      <c r="F72" s="109">
        <f>SUM(F73:F77)</f>
        <v>1632434.03</v>
      </c>
      <c r="G72" s="109">
        <f t="shared" ref="G72:H72" si="39">SUM(G73:G77)</f>
        <v>2059251.23</v>
      </c>
      <c r="H72" s="109">
        <f t="shared" si="39"/>
        <v>1112541.9099999999</v>
      </c>
      <c r="I72" s="110">
        <f t="shared" si="36"/>
        <v>0.54</v>
      </c>
      <c r="J72" s="109">
        <f>SUM(J73:J77)</f>
        <v>1087528.82</v>
      </c>
      <c r="K72" s="111">
        <f t="shared" si="37"/>
        <v>0.52800000000000002</v>
      </c>
      <c r="L72" s="109">
        <f>SUM(L73:L77)</f>
        <v>2023535.38</v>
      </c>
      <c r="M72" s="109">
        <f>SUM(M73:M77)</f>
        <v>2059251.23</v>
      </c>
      <c r="N72" s="109">
        <f>G72-M72</f>
        <v>0</v>
      </c>
      <c r="O72" s="16">
        <f>SUM(O74:O77)</f>
        <v>35715.85</v>
      </c>
      <c r="P72" s="136"/>
    </row>
    <row r="73" spans="1:16" s="57" customFormat="1" x14ac:dyDescent="0.25">
      <c r="A73" s="126"/>
      <c r="B73" s="104" t="s">
        <v>4</v>
      </c>
      <c r="C73" s="58"/>
      <c r="D73" s="58"/>
      <c r="E73" s="58"/>
      <c r="F73" s="31">
        <f t="shared" ref="F73:H77" si="40">F79+F85+F91+F103</f>
        <v>0</v>
      </c>
      <c r="G73" s="31">
        <f t="shared" si="40"/>
        <v>0</v>
      </c>
      <c r="H73" s="31">
        <f t="shared" si="40"/>
        <v>0</v>
      </c>
      <c r="I73" s="32"/>
      <c r="J73" s="31"/>
      <c r="K73" s="31"/>
      <c r="L73" s="31">
        <f>L79+L85+L91+L103</f>
        <v>0</v>
      </c>
      <c r="M73" s="31"/>
      <c r="N73" s="31"/>
      <c r="O73" s="17">
        <f>G73-L73</f>
        <v>0</v>
      </c>
      <c r="P73" s="136"/>
    </row>
    <row r="74" spans="1:16" s="57" customFormat="1" x14ac:dyDescent="0.25">
      <c r="A74" s="126"/>
      <c r="B74" s="104" t="s">
        <v>91</v>
      </c>
      <c r="C74" s="58"/>
      <c r="D74" s="58"/>
      <c r="E74" s="58"/>
      <c r="F74" s="31">
        <f>F80+F86+F92+F104</f>
        <v>1429787.86</v>
      </c>
      <c r="G74" s="31">
        <f t="shared" si="40"/>
        <v>1856605.06</v>
      </c>
      <c r="H74" s="31">
        <f>H80+H86+H92+H104</f>
        <v>992641.3</v>
      </c>
      <c r="I74" s="32">
        <f t="shared" si="36"/>
        <v>0.53</v>
      </c>
      <c r="J74" s="31">
        <f>J80+J86+J92+J104</f>
        <v>967628.21</v>
      </c>
      <c r="K74" s="32">
        <f>J74/G74</f>
        <v>0.52</v>
      </c>
      <c r="L74" s="31">
        <f>L80+L86+L92+L104</f>
        <v>1829481.26</v>
      </c>
      <c r="M74" s="31">
        <f>M80+M86+M92+M104</f>
        <v>1856605.06</v>
      </c>
      <c r="N74" s="31">
        <f t="shared" ref="N74:N76" si="41">N80+N86+N92</f>
        <v>0</v>
      </c>
      <c r="O74" s="17">
        <f>G74-L74</f>
        <v>27123.8</v>
      </c>
      <c r="P74" s="136"/>
    </row>
    <row r="75" spans="1:16" s="57" customFormat="1" x14ac:dyDescent="0.25">
      <c r="A75" s="126"/>
      <c r="B75" s="104" t="s">
        <v>11</v>
      </c>
      <c r="C75" s="58"/>
      <c r="D75" s="58"/>
      <c r="E75" s="58"/>
      <c r="F75" s="31">
        <f t="shared" si="40"/>
        <v>200890.26</v>
      </c>
      <c r="G75" s="31">
        <f t="shared" si="40"/>
        <v>200835.76</v>
      </c>
      <c r="H75" s="31">
        <f>H81+H87+H93+H105</f>
        <v>119900.61</v>
      </c>
      <c r="I75" s="32">
        <f t="shared" si="36"/>
        <v>0.6</v>
      </c>
      <c r="J75" s="31">
        <f>J81+J87+J93+J105</f>
        <v>119900.61</v>
      </c>
      <c r="K75" s="32">
        <f>J75/G75</f>
        <v>0.6</v>
      </c>
      <c r="L75" s="31">
        <f>L81+L87+L93+L105</f>
        <v>194054.12</v>
      </c>
      <c r="M75" s="31">
        <f>M81+M87+M93+M105</f>
        <v>200835.76</v>
      </c>
      <c r="N75" s="31">
        <f t="shared" si="41"/>
        <v>0</v>
      </c>
      <c r="O75" s="17">
        <f>G75-L75</f>
        <v>6781.64</v>
      </c>
      <c r="P75" s="136"/>
    </row>
    <row r="76" spans="1:16" s="57" customFormat="1" x14ac:dyDescent="0.25">
      <c r="A76" s="126"/>
      <c r="B76" s="104" t="s">
        <v>13</v>
      </c>
      <c r="C76" s="58"/>
      <c r="D76" s="58"/>
      <c r="E76" s="58"/>
      <c r="F76" s="31">
        <f t="shared" si="40"/>
        <v>1755.91</v>
      </c>
      <c r="G76" s="31">
        <f t="shared" si="40"/>
        <v>1810.41</v>
      </c>
      <c r="H76" s="31">
        <f>H82+H88+H94+H106</f>
        <v>0</v>
      </c>
      <c r="I76" s="32">
        <f t="shared" si="36"/>
        <v>0</v>
      </c>
      <c r="J76" s="31">
        <f>J82+J88+J94+J106</f>
        <v>0</v>
      </c>
      <c r="K76" s="32">
        <f>J76/G76</f>
        <v>0</v>
      </c>
      <c r="L76" s="31">
        <f t="shared" ref="L76:L77" si="42">L82+L88+L94+L106</f>
        <v>0</v>
      </c>
      <c r="M76" s="31">
        <f>M82+M88+M94+M106</f>
        <v>1810.41</v>
      </c>
      <c r="N76" s="31">
        <f t="shared" si="41"/>
        <v>0</v>
      </c>
      <c r="O76" s="17">
        <v>1810.41</v>
      </c>
      <c r="P76" s="136"/>
    </row>
    <row r="77" spans="1:16" s="57" customFormat="1" collapsed="1" x14ac:dyDescent="0.25">
      <c r="A77" s="126"/>
      <c r="B77" s="104" t="s">
        <v>5</v>
      </c>
      <c r="C77" s="58"/>
      <c r="D77" s="58"/>
      <c r="E77" s="58"/>
      <c r="F77" s="31">
        <f t="shared" si="40"/>
        <v>0</v>
      </c>
      <c r="G77" s="31">
        <f t="shared" si="40"/>
        <v>0</v>
      </c>
      <c r="H77" s="31">
        <f t="shared" si="40"/>
        <v>0</v>
      </c>
      <c r="I77" s="32"/>
      <c r="J77" s="31"/>
      <c r="K77" s="31"/>
      <c r="L77" s="31">
        <f t="shared" si="42"/>
        <v>0</v>
      </c>
      <c r="M77" s="31"/>
      <c r="N77" s="31"/>
      <c r="O77" s="17"/>
      <c r="P77" s="136"/>
    </row>
    <row r="78" spans="1:16" s="41" customFormat="1" ht="30.75" customHeight="1" x14ac:dyDescent="0.25">
      <c r="A78" s="127" t="s">
        <v>73</v>
      </c>
      <c r="B78" s="122" t="s">
        <v>61</v>
      </c>
      <c r="C78" s="45"/>
      <c r="D78" s="45"/>
      <c r="E78" s="45"/>
      <c r="F78" s="112">
        <f>SUM(F79:F83)</f>
        <v>375116.43</v>
      </c>
      <c r="G78" s="112">
        <f t="shared" ref="G78:H78" si="43">SUM(G79:G83)</f>
        <v>802151.53</v>
      </c>
      <c r="H78" s="107">
        <f t="shared" si="43"/>
        <v>55280.98</v>
      </c>
      <c r="I78" s="113">
        <f t="shared" si="36"/>
        <v>7.0000000000000007E-2</v>
      </c>
      <c r="J78" s="112">
        <f>SUM(J79:J83)</f>
        <v>55280.98</v>
      </c>
      <c r="K78" s="113">
        <f t="shared" ref="K78:K117" si="44">J78/G78</f>
        <v>7.0000000000000007E-2</v>
      </c>
      <c r="L78" s="112">
        <f>SUM(L79:L83)</f>
        <v>802151.53</v>
      </c>
      <c r="M78" s="112">
        <f t="shared" ref="M78" si="45">SUM(M79:M83)</f>
        <v>802151.53</v>
      </c>
      <c r="N78" s="112">
        <f t="shared" ref="N78:N109" si="46">G78-M78</f>
        <v>0</v>
      </c>
      <c r="O78" s="15">
        <f t="shared" ref="O78" si="47">O79+O80+O81+O82+O83</f>
        <v>0</v>
      </c>
      <c r="P78" s="185" t="s">
        <v>112</v>
      </c>
    </row>
    <row r="79" spans="1:16" s="42" customFormat="1" ht="44.25" customHeight="1" x14ac:dyDescent="0.25">
      <c r="A79" s="127"/>
      <c r="B79" s="123" t="s">
        <v>4</v>
      </c>
      <c r="C79" s="44"/>
      <c r="D79" s="44"/>
      <c r="E79" s="44"/>
      <c r="F79" s="47"/>
      <c r="G79" s="106"/>
      <c r="H79" s="31"/>
      <c r="I79" s="114"/>
      <c r="J79" s="47"/>
      <c r="K79" s="114"/>
      <c r="L79" s="47"/>
      <c r="M79" s="106"/>
      <c r="N79" s="47"/>
      <c r="O79" s="46">
        <f>G79-L79</f>
        <v>0</v>
      </c>
      <c r="P79" s="186"/>
    </row>
    <row r="80" spans="1:16" s="42" customFormat="1" ht="44.25" customHeight="1" x14ac:dyDescent="0.25">
      <c r="A80" s="127"/>
      <c r="B80" s="123" t="s">
        <v>91</v>
      </c>
      <c r="C80" s="44"/>
      <c r="D80" s="44"/>
      <c r="E80" s="44"/>
      <c r="F80" s="47">
        <v>333853.62</v>
      </c>
      <c r="G80" s="47">
        <v>760888.72</v>
      </c>
      <c r="H80" s="31">
        <v>49200.07</v>
      </c>
      <c r="I80" s="114">
        <f t="shared" si="36"/>
        <v>0.06</v>
      </c>
      <c r="J80" s="47">
        <v>49200.07</v>
      </c>
      <c r="K80" s="114">
        <f t="shared" si="44"/>
        <v>0.06</v>
      </c>
      <c r="L80" s="47">
        <v>760888.72</v>
      </c>
      <c r="M80" s="47">
        <f>G80</f>
        <v>760888.72</v>
      </c>
      <c r="N80" s="47">
        <f t="shared" si="46"/>
        <v>0</v>
      </c>
      <c r="O80" s="17">
        <f t="shared" ref="O80:O81" si="48">G80-L80</f>
        <v>0</v>
      </c>
      <c r="P80" s="186"/>
    </row>
    <row r="81" spans="1:16" s="42" customFormat="1" ht="44.25" customHeight="1" x14ac:dyDescent="0.25">
      <c r="A81" s="127"/>
      <c r="B81" s="123" t="s">
        <v>62</v>
      </c>
      <c r="C81" s="44"/>
      <c r="D81" s="44"/>
      <c r="E81" s="44"/>
      <c r="F81" s="47">
        <v>41262.81</v>
      </c>
      <c r="G81" s="47">
        <v>41262.81</v>
      </c>
      <c r="H81" s="31">
        <v>6080.91</v>
      </c>
      <c r="I81" s="114">
        <f t="shared" si="36"/>
        <v>0.15</v>
      </c>
      <c r="J81" s="47">
        <v>6080.91</v>
      </c>
      <c r="K81" s="114">
        <f t="shared" si="44"/>
        <v>0.15</v>
      </c>
      <c r="L81" s="47">
        <v>41262.81</v>
      </c>
      <c r="M81" s="47">
        <f>G81</f>
        <v>41262.81</v>
      </c>
      <c r="N81" s="47">
        <f t="shared" si="46"/>
        <v>0</v>
      </c>
      <c r="O81" s="17">
        <f t="shared" si="48"/>
        <v>0</v>
      </c>
      <c r="P81" s="186"/>
    </row>
    <row r="82" spans="1:16" s="42" customFormat="1" ht="44.25" customHeight="1" x14ac:dyDescent="0.25">
      <c r="A82" s="127"/>
      <c r="B82" s="123" t="s">
        <v>13</v>
      </c>
      <c r="C82" s="44"/>
      <c r="D82" s="44"/>
      <c r="E82" s="44"/>
      <c r="F82" s="47"/>
      <c r="G82" s="47"/>
      <c r="H82" s="31"/>
      <c r="I82" s="114"/>
      <c r="J82" s="47"/>
      <c r="K82" s="114"/>
      <c r="L82" s="47"/>
      <c r="M82" s="106"/>
      <c r="N82" s="47"/>
      <c r="O82" s="46"/>
      <c r="P82" s="186"/>
    </row>
    <row r="83" spans="1:16" s="42" customFormat="1" ht="44.25" customHeight="1" collapsed="1" x14ac:dyDescent="0.25">
      <c r="A83" s="127"/>
      <c r="B83" s="123" t="s">
        <v>5</v>
      </c>
      <c r="C83" s="44"/>
      <c r="D83" s="44"/>
      <c r="E83" s="44"/>
      <c r="F83" s="47"/>
      <c r="G83" s="106"/>
      <c r="H83" s="31"/>
      <c r="I83" s="114"/>
      <c r="J83" s="47"/>
      <c r="K83" s="114"/>
      <c r="L83" s="47"/>
      <c r="M83" s="106"/>
      <c r="N83" s="47"/>
      <c r="O83" s="46"/>
      <c r="P83" s="187"/>
    </row>
    <row r="84" spans="1:16" s="41" customFormat="1" ht="52.5" customHeight="1" x14ac:dyDescent="0.25">
      <c r="A84" s="127" t="s">
        <v>74</v>
      </c>
      <c r="B84" s="122" t="s">
        <v>63</v>
      </c>
      <c r="C84" s="45"/>
      <c r="D84" s="45"/>
      <c r="E84" s="45"/>
      <c r="F84" s="112">
        <f t="shared" ref="F84:H84" si="49">SUM(F85:F89)</f>
        <v>189811.47</v>
      </c>
      <c r="G84" s="112">
        <f t="shared" si="49"/>
        <v>189811.47</v>
      </c>
      <c r="H84" s="107">
        <f t="shared" si="49"/>
        <v>85566.34</v>
      </c>
      <c r="I84" s="113">
        <f t="shared" si="36"/>
        <v>0.45</v>
      </c>
      <c r="J84" s="112">
        <f>SUM(J85:J89)</f>
        <v>60553.25</v>
      </c>
      <c r="K84" s="113">
        <f t="shared" si="44"/>
        <v>0.32</v>
      </c>
      <c r="L84" s="112">
        <f>SUM(L85:L89)</f>
        <v>189811.47</v>
      </c>
      <c r="M84" s="112">
        <f>SUM(M85:M89)</f>
        <v>189811.47</v>
      </c>
      <c r="N84" s="112">
        <f t="shared" si="46"/>
        <v>0</v>
      </c>
      <c r="O84" s="15">
        <f t="shared" ref="O84" si="50">O85+O86+O87+O88+O89</f>
        <v>0</v>
      </c>
      <c r="P84" s="185" t="s">
        <v>114</v>
      </c>
    </row>
    <row r="85" spans="1:16" s="42" customFormat="1" x14ac:dyDescent="0.25">
      <c r="A85" s="127"/>
      <c r="B85" s="123" t="s">
        <v>4</v>
      </c>
      <c r="C85" s="44"/>
      <c r="D85" s="44"/>
      <c r="E85" s="44"/>
      <c r="F85" s="47"/>
      <c r="G85" s="106"/>
      <c r="H85" s="31"/>
      <c r="I85" s="114"/>
      <c r="J85" s="47"/>
      <c r="K85" s="114"/>
      <c r="L85" s="47"/>
      <c r="M85" s="47"/>
      <c r="N85" s="47"/>
      <c r="O85" s="46">
        <f>G85-L85</f>
        <v>0</v>
      </c>
      <c r="P85" s="186"/>
    </row>
    <row r="86" spans="1:16" s="42" customFormat="1" x14ac:dyDescent="0.25">
      <c r="A86" s="127"/>
      <c r="B86" s="123" t="s">
        <v>91</v>
      </c>
      <c r="C86" s="44"/>
      <c r="D86" s="44"/>
      <c r="E86" s="44"/>
      <c r="F86" s="47">
        <v>152482.23999999999</v>
      </c>
      <c r="G86" s="47">
        <v>152482.23999999999</v>
      </c>
      <c r="H86" s="31">
        <v>75233.17</v>
      </c>
      <c r="I86" s="114">
        <f t="shared" si="36"/>
        <v>0.49</v>
      </c>
      <c r="J86" s="47">
        <v>50220.08</v>
      </c>
      <c r="K86" s="114">
        <f t="shared" si="44"/>
        <v>0.33</v>
      </c>
      <c r="L86" s="47">
        <v>152482.23999999999</v>
      </c>
      <c r="M86" s="47">
        <f>G86</f>
        <v>152482.23999999999</v>
      </c>
      <c r="N86" s="47">
        <f t="shared" si="46"/>
        <v>0</v>
      </c>
      <c r="O86" s="17">
        <f t="shared" ref="O86:O87" si="51">G86-L86</f>
        <v>0</v>
      </c>
      <c r="P86" s="186"/>
    </row>
    <row r="87" spans="1:16" s="42" customFormat="1" x14ac:dyDescent="0.25">
      <c r="A87" s="127"/>
      <c r="B87" s="123" t="s">
        <v>62</v>
      </c>
      <c r="C87" s="44"/>
      <c r="D87" s="44"/>
      <c r="E87" s="44"/>
      <c r="F87" s="47">
        <v>37329.230000000003</v>
      </c>
      <c r="G87" s="47">
        <v>37329.230000000003</v>
      </c>
      <c r="H87" s="31">
        <v>10333.17</v>
      </c>
      <c r="I87" s="114">
        <f t="shared" si="36"/>
        <v>0.28000000000000003</v>
      </c>
      <c r="J87" s="47">
        <v>10333.17</v>
      </c>
      <c r="K87" s="114">
        <f t="shared" si="44"/>
        <v>0.28000000000000003</v>
      </c>
      <c r="L87" s="47">
        <v>37329.230000000003</v>
      </c>
      <c r="M87" s="47">
        <f>G87</f>
        <v>37329.230000000003</v>
      </c>
      <c r="N87" s="47">
        <f t="shared" si="46"/>
        <v>0</v>
      </c>
      <c r="O87" s="17">
        <f t="shared" si="51"/>
        <v>0</v>
      </c>
      <c r="P87" s="186"/>
    </row>
    <row r="88" spans="1:16" s="42" customFormat="1" x14ac:dyDescent="0.25">
      <c r="A88" s="127"/>
      <c r="B88" s="123" t="s">
        <v>13</v>
      </c>
      <c r="C88" s="44"/>
      <c r="D88" s="44"/>
      <c r="E88" s="44"/>
      <c r="F88" s="47"/>
      <c r="G88" s="106"/>
      <c r="H88" s="31"/>
      <c r="I88" s="114"/>
      <c r="J88" s="47"/>
      <c r="K88" s="114"/>
      <c r="L88" s="47"/>
      <c r="M88" s="47"/>
      <c r="N88" s="47"/>
      <c r="O88" s="46"/>
      <c r="P88" s="186"/>
    </row>
    <row r="89" spans="1:16" s="42" customFormat="1" collapsed="1" x14ac:dyDescent="0.25">
      <c r="A89" s="127"/>
      <c r="B89" s="123" t="s">
        <v>5</v>
      </c>
      <c r="C89" s="44"/>
      <c r="D89" s="44"/>
      <c r="E89" s="44"/>
      <c r="F89" s="47"/>
      <c r="G89" s="106"/>
      <c r="H89" s="31"/>
      <c r="I89" s="114"/>
      <c r="J89" s="47"/>
      <c r="K89" s="114"/>
      <c r="L89" s="47"/>
      <c r="M89" s="47"/>
      <c r="N89" s="47"/>
      <c r="O89" s="46"/>
      <c r="P89" s="187"/>
    </row>
    <row r="90" spans="1:16" s="55" customFormat="1" ht="78.75" x14ac:dyDescent="0.25">
      <c r="A90" s="128" t="s">
        <v>75</v>
      </c>
      <c r="B90" s="124" t="s">
        <v>64</v>
      </c>
      <c r="C90" s="60"/>
      <c r="D90" s="60"/>
      <c r="E90" s="60"/>
      <c r="F90" s="107">
        <f t="shared" ref="F90:H90" si="52">SUM(F91:F95)</f>
        <v>143570.91</v>
      </c>
      <c r="G90" s="107">
        <f t="shared" si="52"/>
        <v>143353.01</v>
      </c>
      <c r="H90" s="107">
        <f t="shared" si="52"/>
        <v>47760.08</v>
      </c>
      <c r="I90" s="115">
        <f t="shared" si="36"/>
        <v>0.33</v>
      </c>
      <c r="J90" s="107">
        <f>SUM(J91:J95)</f>
        <v>47760.08</v>
      </c>
      <c r="K90" s="115">
        <f t="shared" si="44"/>
        <v>0.33</v>
      </c>
      <c r="L90" s="107">
        <f>SUM(L91:L95)</f>
        <v>107637.87</v>
      </c>
      <c r="M90" s="107">
        <f>SUM(M91:M95)</f>
        <v>143353.01</v>
      </c>
      <c r="N90" s="107">
        <f t="shared" si="46"/>
        <v>0</v>
      </c>
      <c r="O90" s="109">
        <f t="shared" ref="O90" si="53">O91+O92+O93+O94+O95</f>
        <v>35715.14</v>
      </c>
      <c r="P90" s="82"/>
    </row>
    <row r="91" spans="1:16" s="57" customFormat="1" x14ac:dyDescent="0.25">
      <c r="A91" s="128"/>
      <c r="B91" s="104" t="s">
        <v>4</v>
      </c>
      <c r="C91" s="58"/>
      <c r="D91" s="58"/>
      <c r="E91" s="58"/>
      <c r="F91" s="31">
        <f>F97</f>
        <v>0</v>
      </c>
      <c r="G91" s="31">
        <f t="shared" ref="G91:H92" si="54">G97</f>
        <v>0</v>
      </c>
      <c r="H91" s="31">
        <f t="shared" si="54"/>
        <v>0</v>
      </c>
      <c r="I91" s="32"/>
      <c r="J91" s="31"/>
      <c r="K91" s="32"/>
      <c r="L91" s="31"/>
      <c r="M91" s="31"/>
      <c r="N91" s="31"/>
      <c r="O91" s="31">
        <f>G91-L91</f>
        <v>0</v>
      </c>
      <c r="P91" s="79"/>
    </row>
    <row r="92" spans="1:16" s="57" customFormat="1" x14ac:dyDescent="0.25">
      <c r="A92" s="128"/>
      <c r="B92" s="104" t="s">
        <v>91</v>
      </c>
      <c r="C92" s="58"/>
      <c r="D92" s="58"/>
      <c r="E92" s="58"/>
      <c r="F92" s="31">
        <f>F98</f>
        <v>113452</v>
      </c>
      <c r="G92" s="31">
        <f t="shared" si="54"/>
        <v>113234.1</v>
      </c>
      <c r="H92" s="31">
        <f xml:space="preserve"> H98</f>
        <v>38208.06</v>
      </c>
      <c r="I92" s="77">
        <f t="shared" si="36"/>
        <v>0.33700000000000002</v>
      </c>
      <c r="J92" s="31">
        <f>H92</f>
        <v>38208.06</v>
      </c>
      <c r="K92" s="77">
        <f t="shared" si="44"/>
        <v>0.33700000000000002</v>
      </c>
      <c r="L92" s="31">
        <f t="shared" ref="J92:L94" si="55">L98</f>
        <v>86110.3</v>
      </c>
      <c r="M92" s="31">
        <f t="shared" ref="M92:M94" si="56">M98</f>
        <v>113234.1</v>
      </c>
      <c r="N92" s="31">
        <f t="shared" si="46"/>
        <v>0</v>
      </c>
      <c r="O92" s="31">
        <f>G92-L92</f>
        <v>27123.8</v>
      </c>
      <c r="P92" s="79"/>
    </row>
    <row r="93" spans="1:16" s="57" customFormat="1" x14ac:dyDescent="0.25">
      <c r="A93" s="128"/>
      <c r="B93" s="104" t="s">
        <v>62</v>
      </c>
      <c r="C93" s="58"/>
      <c r="D93" s="58"/>
      <c r="E93" s="58"/>
      <c r="F93" s="31">
        <f t="shared" ref="F93:H95" si="57">F99</f>
        <v>28363</v>
      </c>
      <c r="G93" s="31">
        <f t="shared" si="57"/>
        <v>28308.5</v>
      </c>
      <c r="H93" s="31">
        <f t="shared" si="57"/>
        <v>9552.02</v>
      </c>
      <c r="I93" s="32">
        <f t="shared" si="36"/>
        <v>0.34</v>
      </c>
      <c r="J93" s="31">
        <f t="shared" si="55"/>
        <v>9552.02</v>
      </c>
      <c r="K93" s="32">
        <f t="shared" si="44"/>
        <v>0.34</v>
      </c>
      <c r="L93" s="31">
        <f t="shared" si="55"/>
        <v>21527.57</v>
      </c>
      <c r="M93" s="31">
        <f t="shared" si="56"/>
        <v>28308.5</v>
      </c>
      <c r="N93" s="31">
        <f t="shared" si="46"/>
        <v>0</v>
      </c>
      <c r="O93" s="31">
        <f t="shared" ref="O93:O94" si="58">G93-L93</f>
        <v>6780.93</v>
      </c>
      <c r="P93" s="79"/>
    </row>
    <row r="94" spans="1:16" s="57" customFormat="1" x14ac:dyDescent="0.25">
      <c r="A94" s="128"/>
      <c r="B94" s="104" t="s">
        <v>13</v>
      </c>
      <c r="C94" s="58"/>
      <c r="D94" s="58"/>
      <c r="E94" s="58"/>
      <c r="F94" s="31">
        <f t="shared" si="57"/>
        <v>1755.91</v>
      </c>
      <c r="G94" s="31">
        <f t="shared" si="57"/>
        <v>1810.41</v>
      </c>
      <c r="H94" s="31">
        <f t="shared" si="57"/>
        <v>0</v>
      </c>
      <c r="I94" s="32">
        <f t="shared" si="36"/>
        <v>0</v>
      </c>
      <c r="J94" s="31">
        <f t="shared" si="55"/>
        <v>0</v>
      </c>
      <c r="K94" s="32">
        <f t="shared" si="44"/>
        <v>0</v>
      </c>
      <c r="L94" s="31">
        <f t="shared" si="55"/>
        <v>0</v>
      </c>
      <c r="M94" s="31">
        <f t="shared" si="56"/>
        <v>1810.41</v>
      </c>
      <c r="N94" s="31">
        <f t="shared" si="46"/>
        <v>0</v>
      </c>
      <c r="O94" s="31">
        <f t="shared" si="58"/>
        <v>1810.41</v>
      </c>
      <c r="P94" s="79"/>
    </row>
    <row r="95" spans="1:16" s="57" customFormat="1" collapsed="1" x14ac:dyDescent="0.25">
      <c r="A95" s="128"/>
      <c r="B95" s="104" t="s">
        <v>5</v>
      </c>
      <c r="C95" s="58"/>
      <c r="D95" s="58"/>
      <c r="E95" s="58"/>
      <c r="F95" s="31">
        <f t="shared" si="57"/>
        <v>0</v>
      </c>
      <c r="G95" s="31">
        <f t="shared" si="57"/>
        <v>0</v>
      </c>
      <c r="H95" s="31">
        <f t="shared" si="57"/>
        <v>0</v>
      </c>
      <c r="I95" s="32"/>
      <c r="J95" s="31"/>
      <c r="K95" s="32"/>
      <c r="L95" s="31"/>
      <c r="M95" s="31"/>
      <c r="N95" s="31"/>
      <c r="O95" s="17"/>
      <c r="P95" s="79"/>
    </row>
    <row r="96" spans="1:16" s="61" customFormat="1" ht="81" customHeight="1" x14ac:dyDescent="0.25">
      <c r="A96" s="128" t="s">
        <v>76</v>
      </c>
      <c r="B96" s="124" t="s">
        <v>65</v>
      </c>
      <c r="C96" s="60"/>
      <c r="D96" s="60"/>
      <c r="E96" s="60"/>
      <c r="F96" s="107">
        <f t="shared" ref="F96:H96" si="59">SUM(F97:F101)</f>
        <v>143570.91</v>
      </c>
      <c r="G96" s="107">
        <f t="shared" si="59"/>
        <v>143353.01</v>
      </c>
      <c r="H96" s="107">
        <f t="shared" si="59"/>
        <v>47760.08</v>
      </c>
      <c r="I96" s="115">
        <f t="shared" si="36"/>
        <v>0.33</v>
      </c>
      <c r="J96" s="107">
        <f>SUM(J97:J101)</f>
        <v>47760.08</v>
      </c>
      <c r="K96" s="115">
        <f t="shared" si="44"/>
        <v>0.33</v>
      </c>
      <c r="L96" s="107">
        <f>SUM(L97:L101)</f>
        <v>107637.87</v>
      </c>
      <c r="M96" s="107">
        <f>SUM(M97:M101)</f>
        <v>143353.01</v>
      </c>
      <c r="N96" s="107">
        <f t="shared" si="46"/>
        <v>0</v>
      </c>
      <c r="O96" s="109">
        <f t="shared" ref="O96" si="60">O97+O98+O99+O100+O101</f>
        <v>35715.14</v>
      </c>
      <c r="P96" s="166" t="s">
        <v>115</v>
      </c>
    </row>
    <row r="97" spans="1:16" s="57" customFormat="1" x14ac:dyDescent="0.25">
      <c r="A97" s="128"/>
      <c r="B97" s="104" t="s">
        <v>4</v>
      </c>
      <c r="C97" s="58"/>
      <c r="D97" s="58"/>
      <c r="E97" s="58"/>
      <c r="F97" s="31"/>
      <c r="G97" s="93"/>
      <c r="H97" s="31"/>
      <c r="I97" s="32"/>
      <c r="J97" s="31"/>
      <c r="K97" s="32"/>
      <c r="L97" s="31"/>
      <c r="M97" s="31"/>
      <c r="N97" s="31"/>
      <c r="O97" s="31">
        <f>G97-L97</f>
        <v>0</v>
      </c>
      <c r="P97" s="166"/>
    </row>
    <row r="98" spans="1:16" s="57" customFormat="1" ht="78.75" x14ac:dyDescent="0.25">
      <c r="A98" s="128"/>
      <c r="B98" s="124" t="s">
        <v>64</v>
      </c>
      <c r="C98" s="58"/>
      <c r="D98" s="58"/>
      <c r="E98" s="58"/>
      <c r="F98" s="31">
        <v>113452</v>
      </c>
      <c r="G98" s="31">
        <v>113234.1</v>
      </c>
      <c r="H98" s="31">
        <v>38208.06</v>
      </c>
      <c r="I98" s="77">
        <f t="shared" ref="I98:I117" si="61">H98/G98</f>
        <v>0.33700000000000002</v>
      </c>
      <c r="J98" s="31">
        <v>38208.06</v>
      </c>
      <c r="K98" s="77">
        <f t="shared" si="44"/>
        <v>0.33700000000000002</v>
      </c>
      <c r="L98" s="31">
        <v>86110.3</v>
      </c>
      <c r="M98" s="31">
        <f>G98</f>
        <v>113234.1</v>
      </c>
      <c r="N98" s="31">
        <f t="shared" si="46"/>
        <v>0</v>
      </c>
      <c r="O98" s="31">
        <f>G98-L98</f>
        <v>27123.8</v>
      </c>
      <c r="P98" s="166"/>
    </row>
    <row r="99" spans="1:16" s="57" customFormat="1" x14ac:dyDescent="0.25">
      <c r="A99" s="128"/>
      <c r="B99" s="104" t="s">
        <v>62</v>
      </c>
      <c r="C99" s="58"/>
      <c r="D99" s="58"/>
      <c r="E99" s="58"/>
      <c r="F99" s="31">
        <v>28363</v>
      </c>
      <c r="G99" s="31">
        <v>28308.5</v>
      </c>
      <c r="H99" s="31">
        <v>9552.02</v>
      </c>
      <c r="I99" s="32">
        <f t="shared" si="61"/>
        <v>0.34</v>
      </c>
      <c r="J99" s="31">
        <v>9552.02</v>
      </c>
      <c r="K99" s="32">
        <f t="shared" si="44"/>
        <v>0.34</v>
      </c>
      <c r="L99" s="31">
        <v>21527.57</v>
      </c>
      <c r="M99" s="31">
        <f>G99</f>
        <v>28308.5</v>
      </c>
      <c r="N99" s="31">
        <f t="shared" si="46"/>
        <v>0</v>
      </c>
      <c r="O99" s="31">
        <f t="shared" ref="O99" si="62">G99-L99</f>
        <v>6780.93</v>
      </c>
      <c r="P99" s="166"/>
    </row>
    <row r="100" spans="1:16" s="57" customFormat="1" x14ac:dyDescent="0.25">
      <c r="A100" s="128"/>
      <c r="B100" s="104" t="s">
        <v>13</v>
      </c>
      <c r="C100" s="58"/>
      <c r="D100" s="58"/>
      <c r="E100" s="58"/>
      <c r="F100" s="31">
        <v>1755.91</v>
      </c>
      <c r="G100" s="31">
        <v>1810.41</v>
      </c>
      <c r="H100" s="31"/>
      <c r="I100" s="32">
        <f t="shared" si="61"/>
        <v>0</v>
      </c>
      <c r="J100" s="31"/>
      <c r="K100" s="32">
        <f t="shared" si="44"/>
        <v>0</v>
      </c>
      <c r="L100" s="31"/>
      <c r="M100" s="31">
        <f>G100</f>
        <v>1810.41</v>
      </c>
      <c r="N100" s="31">
        <f t="shared" si="46"/>
        <v>0</v>
      </c>
      <c r="O100" s="17">
        <v>1810.41</v>
      </c>
      <c r="P100" s="166"/>
    </row>
    <row r="101" spans="1:16" s="57" customFormat="1" collapsed="1" x14ac:dyDescent="0.25">
      <c r="A101" s="128"/>
      <c r="B101" s="104" t="s">
        <v>5</v>
      </c>
      <c r="C101" s="58"/>
      <c r="D101" s="58"/>
      <c r="E101" s="58"/>
      <c r="F101" s="31"/>
      <c r="G101" s="93"/>
      <c r="H101" s="31"/>
      <c r="I101" s="32"/>
      <c r="J101" s="31"/>
      <c r="K101" s="32"/>
      <c r="L101" s="32"/>
      <c r="M101" s="31"/>
      <c r="N101" s="31"/>
      <c r="O101" s="17"/>
      <c r="P101" s="166"/>
    </row>
    <row r="102" spans="1:16" s="57" customFormat="1" ht="63" customHeight="1" x14ac:dyDescent="0.25">
      <c r="A102" s="128" t="s">
        <v>77</v>
      </c>
      <c r="B102" s="124" t="s">
        <v>66</v>
      </c>
      <c r="C102" s="60"/>
      <c r="D102" s="60"/>
      <c r="E102" s="60"/>
      <c r="F102" s="107">
        <f>SUM(F103:F107)</f>
        <v>923935.22</v>
      </c>
      <c r="G102" s="107">
        <f>SUM(G103:G107)</f>
        <v>923935.22</v>
      </c>
      <c r="H102" s="107">
        <f>SUM(H103:H107)</f>
        <v>923934.51</v>
      </c>
      <c r="I102" s="115">
        <f t="shared" si="61"/>
        <v>1</v>
      </c>
      <c r="J102" s="107">
        <f>SUM(J103:J107)</f>
        <v>923934.51</v>
      </c>
      <c r="K102" s="115">
        <f t="shared" si="44"/>
        <v>1</v>
      </c>
      <c r="L102" s="107">
        <f>SUM(L103:L107)</f>
        <v>923934.51</v>
      </c>
      <c r="M102" s="107">
        <f>SUM(M103:M107)</f>
        <v>923935.22</v>
      </c>
      <c r="N102" s="107">
        <f t="shared" si="46"/>
        <v>0</v>
      </c>
      <c r="O102" s="109">
        <f t="shared" ref="O102" si="63">O103+O104+O105+O106+O107</f>
        <v>0.71</v>
      </c>
      <c r="P102" s="166" t="s">
        <v>90</v>
      </c>
    </row>
    <row r="103" spans="1:16" s="57" customFormat="1" ht="36" customHeight="1" x14ac:dyDescent="0.25">
      <c r="A103" s="128"/>
      <c r="B103" s="104" t="s">
        <v>4</v>
      </c>
      <c r="C103" s="58"/>
      <c r="D103" s="58"/>
      <c r="E103" s="58"/>
      <c r="F103" s="31"/>
      <c r="G103" s="31"/>
      <c r="H103" s="31"/>
      <c r="I103" s="32"/>
      <c r="J103" s="31"/>
      <c r="K103" s="32"/>
      <c r="L103" s="31"/>
      <c r="M103" s="31"/>
      <c r="N103" s="31"/>
      <c r="O103" s="31">
        <f>G103-L103</f>
        <v>0</v>
      </c>
      <c r="P103" s="166"/>
    </row>
    <row r="104" spans="1:16" s="57" customFormat="1" ht="36" customHeight="1" x14ac:dyDescent="0.25">
      <c r="A104" s="128"/>
      <c r="B104" s="104" t="s">
        <v>91</v>
      </c>
      <c r="C104" s="58"/>
      <c r="D104" s="58"/>
      <c r="E104" s="58"/>
      <c r="F104" s="31">
        <v>830000</v>
      </c>
      <c r="G104" s="31">
        <v>830000</v>
      </c>
      <c r="H104" s="31">
        <v>830000</v>
      </c>
      <c r="I104" s="32">
        <f t="shared" si="61"/>
        <v>1</v>
      </c>
      <c r="J104" s="31">
        <v>830000</v>
      </c>
      <c r="K104" s="32">
        <f t="shared" si="44"/>
        <v>1</v>
      </c>
      <c r="L104" s="31">
        <v>830000</v>
      </c>
      <c r="M104" s="31">
        <f>G104</f>
        <v>830000</v>
      </c>
      <c r="N104" s="31">
        <f t="shared" si="46"/>
        <v>0</v>
      </c>
      <c r="O104" s="31">
        <f>G104-L104</f>
        <v>0</v>
      </c>
      <c r="P104" s="166"/>
    </row>
    <row r="105" spans="1:16" s="57" customFormat="1" ht="27.75" customHeight="1" x14ac:dyDescent="0.25">
      <c r="A105" s="128"/>
      <c r="B105" s="104" t="s">
        <v>62</v>
      </c>
      <c r="C105" s="58"/>
      <c r="D105" s="58"/>
      <c r="E105" s="58"/>
      <c r="F105" s="31">
        <v>93935.22</v>
      </c>
      <c r="G105" s="31">
        <v>93935.22</v>
      </c>
      <c r="H105" s="31">
        <v>93934.51</v>
      </c>
      <c r="I105" s="32">
        <f>H105/G105</f>
        <v>1</v>
      </c>
      <c r="J105" s="31">
        <v>93934.51</v>
      </c>
      <c r="K105" s="32">
        <f t="shared" si="44"/>
        <v>1</v>
      </c>
      <c r="L105" s="31">
        <v>93934.51</v>
      </c>
      <c r="M105" s="31">
        <f>G105</f>
        <v>93935.22</v>
      </c>
      <c r="N105" s="31">
        <f t="shared" si="46"/>
        <v>0</v>
      </c>
      <c r="O105" s="31">
        <f>G105-L105</f>
        <v>0.71</v>
      </c>
      <c r="P105" s="166"/>
    </row>
    <row r="106" spans="1:16" s="57" customFormat="1" ht="36" customHeight="1" x14ac:dyDescent="0.25">
      <c r="A106" s="128"/>
      <c r="B106" s="104" t="s">
        <v>13</v>
      </c>
      <c r="C106" s="58"/>
      <c r="D106" s="58"/>
      <c r="E106" s="58"/>
      <c r="F106" s="31"/>
      <c r="G106" s="31"/>
      <c r="H106" s="31"/>
      <c r="I106" s="32"/>
      <c r="J106" s="31"/>
      <c r="K106" s="32"/>
      <c r="L106" s="31"/>
      <c r="M106" s="31"/>
      <c r="N106" s="31"/>
      <c r="O106" s="17"/>
      <c r="P106" s="166"/>
    </row>
    <row r="107" spans="1:16" s="57" customFormat="1" ht="36" customHeight="1" x14ac:dyDescent="0.25">
      <c r="A107" s="128"/>
      <c r="B107" s="104" t="s">
        <v>5</v>
      </c>
      <c r="C107" s="58"/>
      <c r="D107" s="58"/>
      <c r="E107" s="58"/>
      <c r="F107" s="31"/>
      <c r="G107" s="31"/>
      <c r="H107" s="31"/>
      <c r="I107" s="32"/>
      <c r="J107" s="31"/>
      <c r="K107" s="32"/>
      <c r="L107" s="31"/>
      <c r="M107" s="31"/>
      <c r="N107" s="31"/>
      <c r="O107" s="17"/>
      <c r="P107" s="166"/>
    </row>
    <row r="108" spans="1:16" s="55" customFormat="1" ht="98.25" customHeight="1" x14ac:dyDescent="0.25">
      <c r="A108" s="125" t="s">
        <v>78</v>
      </c>
      <c r="B108" s="121" t="s">
        <v>86</v>
      </c>
      <c r="C108" s="59"/>
      <c r="D108" s="59"/>
      <c r="E108" s="59"/>
      <c r="F108" s="109">
        <f t="shared" ref="F108:G108" si="64">SUM(F109:F113)</f>
        <v>25102.98</v>
      </c>
      <c r="G108" s="109">
        <f t="shared" si="64"/>
        <v>26369.74</v>
      </c>
      <c r="H108" s="109">
        <f>SUM(H109:H113)</f>
        <v>23760.99</v>
      </c>
      <c r="I108" s="111">
        <f t="shared" si="61"/>
        <v>0.90100000000000002</v>
      </c>
      <c r="J108" s="109">
        <f>SUM(J109:J113)</f>
        <v>16011.4</v>
      </c>
      <c r="K108" s="111">
        <f t="shared" si="44"/>
        <v>0.60699999999999998</v>
      </c>
      <c r="L108" s="109">
        <f>SUM(L109:L113)</f>
        <v>23775.49</v>
      </c>
      <c r="M108" s="109">
        <f t="shared" ref="M108" si="65">SUM(M109:M113)</f>
        <v>26369.74</v>
      </c>
      <c r="N108" s="116">
        <f t="shared" si="46"/>
        <v>0</v>
      </c>
      <c r="O108" s="109">
        <f t="shared" ref="O108" si="66">O109+O110+O111+O112+O113</f>
        <v>2594.25</v>
      </c>
      <c r="P108" s="83"/>
    </row>
    <row r="109" spans="1:16" s="57" customFormat="1" x14ac:dyDescent="0.25">
      <c r="A109" s="126"/>
      <c r="B109" s="104" t="s">
        <v>4</v>
      </c>
      <c r="C109" s="58"/>
      <c r="D109" s="58"/>
      <c r="E109" s="58"/>
      <c r="F109" s="31">
        <f>F133+F115+F121+F127+F139</f>
        <v>17057.03</v>
      </c>
      <c r="G109" s="31">
        <f t="shared" ref="G109" si="67">G133+G115+G121+G127+G139</f>
        <v>18542.34</v>
      </c>
      <c r="H109" s="31">
        <f>H115+H121+H127+H133+H139</f>
        <v>16104.24</v>
      </c>
      <c r="I109" s="32">
        <f t="shared" si="61"/>
        <v>0.87</v>
      </c>
      <c r="J109" s="31">
        <f t="shared" ref="J109:J111" si="68">J133+J115+J121+J127+J139</f>
        <v>9822.6</v>
      </c>
      <c r="K109" s="32">
        <f t="shared" si="44"/>
        <v>0.53</v>
      </c>
      <c r="L109" s="31">
        <f>L115+L121+L127+L133+L139</f>
        <v>16104.24</v>
      </c>
      <c r="M109" s="31">
        <f t="shared" ref="M109:M111" si="69">M133+M115+M121+M127+M139</f>
        <v>18542.34</v>
      </c>
      <c r="N109" s="31">
        <f t="shared" si="46"/>
        <v>0</v>
      </c>
      <c r="O109" s="31">
        <f>G109-L109</f>
        <v>2438.1</v>
      </c>
      <c r="P109" s="79"/>
    </row>
    <row r="110" spans="1:16" s="57" customFormat="1" x14ac:dyDescent="0.25">
      <c r="A110" s="126"/>
      <c r="B110" s="104" t="s">
        <v>60</v>
      </c>
      <c r="C110" s="58"/>
      <c r="D110" s="58"/>
      <c r="E110" s="58"/>
      <c r="F110" s="31">
        <f t="shared" ref="F110:H113" si="70">F134+F116+F122+F128+F140</f>
        <v>7592.45</v>
      </c>
      <c r="G110" s="31">
        <f t="shared" si="70"/>
        <v>7373.9</v>
      </c>
      <c r="H110" s="31">
        <f>H116++H122+H128+H134+H140</f>
        <v>7373.9</v>
      </c>
      <c r="I110" s="32">
        <f t="shared" si="61"/>
        <v>1</v>
      </c>
      <c r="J110" s="31">
        <f t="shared" si="68"/>
        <v>5905.95</v>
      </c>
      <c r="K110" s="32">
        <f t="shared" si="44"/>
        <v>0.8</v>
      </c>
      <c r="L110" s="31">
        <f>L116+L122+L128+L134+L140</f>
        <v>7217.75</v>
      </c>
      <c r="M110" s="31">
        <f t="shared" si="69"/>
        <v>7373.9</v>
      </c>
      <c r="N110" s="31">
        <f t="shared" ref="N110:N139" si="71">G110-M110</f>
        <v>0</v>
      </c>
      <c r="O110" s="31">
        <f>G110-L110</f>
        <v>156.15</v>
      </c>
      <c r="P110" s="79"/>
    </row>
    <row r="111" spans="1:16" s="57" customFormat="1" x14ac:dyDescent="0.25">
      <c r="A111" s="126"/>
      <c r="B111" s="104" t="s">
        <v>62</v>
      </c>
      <c r="C111" s="58"/>
      <c r="D111" s="58"/>
      <c r="E111" s="58"/>
      <c r="F111" s="31">
        <f t="shared" si="70"/>
        <v>453.5</v>
      </c>
      <c r="G111" s="31">
        <f t="shared" si="70"/>
        <v>453.5</v>
      </c>
      <c r="H111" s="31">
        <f t="shared" si="70"/>
        <v>282.85000000000002</v>
      </c>
      <c r="I111" s="32">
        <f t="shared" si="61"/>
        <v>0.62</v>
      </c>
      <c r="J111" s="31">
        <f t="shared" si="68"/>
        <v>282.85000000000002</v>
      </c>
      <c r="K111" s="32">
        <f t="shared" si="44"/>
        <v>0.62</v>
      </c>
      <c r="L111" s="31">
        <f>L117+L123+L129+L135+L141</f>
        <v>453.5</v>
      </c>
      <c r="M111" s="31">
        <f t="shared" si="69"/>
        <v>453.5</v>
      </c>
      <c r="N111" s="31">
        <f t="shared" si="71"/>
        <v>0</v>
      </c>
      <c r="O111" s="31">
        <f t="shared" ref="O111" si="72">G111-L111</f>
        <v>0</v>
      </c>
      <c r="P111" s="79"/>
    </row>
    <row r="112" spans="1:16" s="57" customFormat="1" x14ac:dyDescent="0.25">
      <c r="A112" s="126"/>
      <c r="B112" s="104" t="s">
        <v>13</v>
      </c>
      <c r="C112" s="58"/>
      <c r="D112" s="58"/>
      <c r="E112" s="58"/>
      <c r="F112" s="31">
        <f t="shared" si="70"/>
        <v>0</v>
      </c>
      <c r="G112" s="31">
        <f t="shared" si="70"/>
        <v>0</v>
      </c>
      <c r="H112" s="31">
        <f t="shared" si="70"/>
        <v>0</v>
      </c>
      <c r="I112" s="32"/>
      <c r="J112" s="31"/>
      <c r="K112" s="32"/>
      <c r="L112" s="31"/>
      <c r="M112" s="31"/>
      <c r="N112" s="31"/>
      <c r="O112" s="17"/>
      <c r="P112" s="79"/>
    </row>
    <row r="113" spans="1:16" s="57" customFormat="1" ht="52.5" customHeight="1" collapsed="1" x14ac:dyDescent="0.25">
      <c r="A113" s="126"/>
      <c r="B113" s="104" t="s">
        <v>5</v>
      </c>
      <c r="C113" s="58"/>
      <c r="D113" s="58"/>
      <c r="E113" s="58"/>
      <c r="F113" s="31">
        <f t="shared" si="70"/>
        <v>0</v>
      </c>
      <c r="G113" s="31">
        <f t="shared" si="70"/>
        <v>0</v>
      </c>
      <c r="H113" s="31">
        <f t="shared" si="70"/>
        <v>0</v>
      </c>
      <c r="I113" s="32"/>
      <c r="J113" s="31"/>
      <c r="K113" s="32"/>
      <c r="L113" s="31"/>
      <c r="M113" s="31"/>
      <c r="N113" s="31"/>
      <c r="O113" s="17"/>
      <c r="P113" s="79"/>
    </row>
    <row r="114" spans="1:16" s="62" customFormat="1" ht="75.75" customHeight="1" x14ac:dyDescent="0.25">
      <c r="A114" s="128" t="s">
        <v>79</v>
      </c>
      <c r="B114" s="124" t="s">
        <v>67</v>
      </c>
      <c r="C114" s="60"/>
      <c r="D114" s="60"/>
      <c r="E114" s="60"/>
      <c r="F114" s="107">
        <f t="shared" ref="F114:H114" si="73">SUM(F115:F119)</f>
        <v>7596.36</v>
      </c>
      <c r="G114" s="107">
        <f t="shared" si="73"/>
        <v>7343.78</v>
      </c>
      <c r="H114" s="107">
        <f t="shared" si="73"/>
        <v>7173.13</v>
      </c>
      <c r="I114" s="115">
        <f>H114/G114</f>
        <v>0.98</v>
      </c>
      <c r="J114" s="107">
        <f>SUM(J115:J119)</f>
        <v>5657.06</v>
      </c>
      <c r="K114" s="115">
        <f t="shared" si="44"/>
        <v>0.77</v>
      </c>
      <c r="L114" s="107">
        <f>L115+L116+L117</f>
        <v>7343.78</v>
      </c>
      <c r="M114" s="115">
        <f>M115+M116+M117</f>
        <v>7343.78</v>
      </c>
      <c r="N114" s="115">
        <f>N115+N116+N117</f>
        <v>0</v>
      </c>
      <c r="O114" s="16">
        <f t="shared" ref="O114" si="74">O115+O116+O117+O118+O119</f>
        <v>0</v>
      </c>
      <c r="P114" s="165" t="s">
        <v>113</v>
      </c>
    </row>
    <row r="115" spans="1:16" s="63" customFormat="1" ht="49.5" customHeight="1" x14ac:dyDescent="0.25">
      <c r="A115" s="128"/>
      <c r="B115" s="104" t="s">
        <v>93</v>
      </c>
      <c r="C115" s="58"/>
      <c r="D115" s="58"/>
      <c r="E115" s="58"/>
      <c r="F115" s="31">
        <v>944.84</v>
      </c>
      <c r="G115" s="31">
        <v>910.81</v>
      </c>
      <c r="H115" s="31">
        <v>910.81</v>
      </c>
      <c r="I115" s="32">
        <f t="shared" si="61"/>
        <v>1</v>
      </c>
      <c r="J115" s="31">
        <v>706.54</v>
      </c>
      <c r="K115" s="32">
        <f t="shared" si="44"/>
        <v>0.78</v>
      </c>
      <c r="L115" s="117">
        <v>910.81</v>
      </c>
      <c r="M115" s="31">
        <f>G115</f>
        <v>910.81</v>
      </c>
      <c r="N115" s="31">
        <f t="shared" si="71"/>
        <v>0</v>
      </c>
      <c r="O115" s="17">
        <f>G115-L115</f>
        <v>0</v>
      </c>
      <c r="P115" s="165"/>
    </row>
    <row r="116" spans="1:16" s="63" customFormat="1" ht="49.5" customHeight="1" x14ac:dyDescent="0.25">
      <c r="A116" s="128"/>
      <c r="B116" s="104" t="s">
        <v>91</v>
      </c>
      <c r="C116" s="58"/>
      <c r="D116" s="58"/>
      <c r="E116" s="58"/>
      <c r="F116" s="31">
        <v>6198.02</v>
      </c>
      <c r="G116" s="31">
        <v>5979.47</v>
      </c>
      <c r="H116" s="31">
        <v>5979.47</v>
      </c>
      <c r="I116" s="32">
        <f t="shared" si="61"/>
        <v>1</v>
      </c>
      <c r="J116" s="31">
        <v>4667.67</v>
      </c>
      <c r="K116" s="32">
        <f t="shared" si="44"/>
        <v>0.78</v>
      </c>
      <c r="L116" s="117">
        <v>5979.47</v>
      </c>
      <c r="M116" s="31">
        <f>G116</f>
        <v>5979.47</v>
      </c>
      <c r="N116" s="31">
        <f t="shared" si="71"/>
        <v>0</v>
      </c>
      <c r="O116" s="17">
        <f>G116-L116</f>
        <v>0</v>
      </c>
      <c r="P116" s="165"/>
    </row>
    <row r="117" spans="1:16" s="63" customFormat="1" ht="49.5" customHeight="1" x14ac:dyDescent="0.25">
      <c r="A117" s="128"/>
      <c r="B117" s="104" t="s">
        <v>62</v>
      </c>
      <c r="C117" s="58"/>
      <c r="D117" s="58"/>
      <c r="E117" s="58"/>
      <c r="F117" s="31">
        <v>453.5</v>
      </c>
      <c r="G117" s="31">
        <v>453.5</v>
      </c>
      <c r="H117" s="31">
        <f>J117</f>
        <v>282.85000000000002</v>
      </c>
      <c r="I117" s="32">
        <f t="shared" si="61"/>
        <v>0.62</v>
      </c>
      <c r="J117" s="31">
        <v>282.85000000000002</v>
      </c>
      <c r="K117" s="32">
        <f t="shared" si="44"/>
        <v>0.62</v>
      </c>
      <c r="L117" s="117">
        <v>453.5</v>
      </c>
      <c r="M117" s="31">
        <f>G117</f>
        <v>453.5</v>
      </c>
      <c r="N117" s="31">
        <f t="shared" si="71"/>
        <v>0</v>
      </c>
      <c r="O117" s="17">
        <f>G117-L117</f>
        <v>0</v>
      </c>
      <c r="P117" s="165"/>
    </row>
    <row r="118" spans="1:16" s="63" customFormat="1" ht="49.5" customHeight="1" x14ac:dyDescent="0.25">
      <c r="A118" s="128"/>
      <c r="B118" s="104" t="s">
        <v>13</v>
      </c>
      <c r="C118" s="58"/>
      <c r="D118" s="58"/>
      <c r="E118" s="58"/>
      <c r="F118" s="31"/>
      <c r="G118" s="93"/>
      <c r="H118" s="31"/>
      <c r="I118" s="32"/>
      <c r="J118" s="31"/>
      <c r="K118" s="32"/>
      <c r="L118" s="32"/>
      <c r="M118" s="31"/>
      <c r="N118" s="31">
        <f t="shared" si="71"/>
        <v>0</v>
      </c>
      <c r="O118" s="17"/>
      <c r="P118" s="165"/>
    </row>
    <row r="119" spans="1:16" s="63" customFormat="1" ht="49.5" customHeight="1" collapsed="1" x14ac:dyDescent="0.25">
      <c r="A119" s="128"/>
      <c r="B119" s="104" t="s">
        <v>5</v>
      </c>
      <c r="C119" s="58"/>
      <c r="D119" s="58"/>
      <c r="E119" s="58"/>
      <c r="F119" s="31"/>
      <c r="G119" s="93"/>
      <c r="H119" s="31"/>
      <c r="I119" s="32"/>
      <c r="J119" s="31"/>
      <c r="K119" s="32"/>
      <c r="L119" s="32"/>
      <c r="M119" s="31"/>
      <c r="N119" s="31">
        <f t="shared" si="71"/>
        <v>0</v>
      </c>
      <c r="O119" s="17"/>
      <c r="P119" s="165"/>
    </row>
    <row r="120" spans="1:16" s="62" customFormat="1" ht="206.25" customHeight="1" x14ac:dyDescent="0.25">
      <c r="A120" s="128" t="s">
        <v>80</v>
      </c>
      <c r="B120" s="124" t="s">
        <v>68</v>
      </c>
      <c r="C120" s="64"/>
      <c r="D120" s="64"/>
      <c r="E120" s="64"/>
      <c r="F120" s="107">
        <f t="shared" ref="F120:H120" si="75">SUM(F121:F125)</f>
        <v>1.7</v>
      </c>
      <c r="G120" s="107">
        <f t="shared" si="75"/>
        <v>1.7</v>
      </c>
      <c r="H120" s="107">
        <f t="shared" si="75"/>
        <v>1.7</v>
      </c>
      <c r="I120" s="115">
        <f t="shared" ref="I120:I144" si="76">H120/G120</f>
        <v>1</v>
      </c>
      <c r="J120" s="107">
        <f>SUM(J121:J125)</f>
        <v>1.7</v>
      </c>
      <c r="K120" s="118">
        <f t="shared" ref="K120:K144" si="77">J120/G120</f>
        <v>1</v>
      </c>
      <c r="L120" s="117">
        <f>L122</f>
        <v>1.7</v>
      </c>
      <c r="M120" s="107">
        <f>SUM(M121:M125)</f>
        <v>1.7</v>
      </c>
      <c r="N120" s="107">
        <f t="shared" si="71"/>
        <v>0</v>
      </c>
      <c r="O120" s="16">
        <f t="shared" ref="O120" si="78">O121+O122+O123+O124+O125</f>
        <v>0</v>
      </c>
      <c r="P120" s="165" t="s">
        <v>106</v>
      </c>
    </row>
    <row r="121" spans="1:16" s="63" customFormat="1" x14ac:dyDescent="0.25">
      <c r="A121" s="128"/>
      <c r="B121" s="104" t="s">
        <v>4</v>
      </c>
      <c r="C121" s="84"/>
      <c r="D121" s="84"/>
      <c r="E121" s="84"/>
      <c r="F121" s="31"/>
      <c r="G121" s="31"/>
      <c r="H121" s="31"/>
      <c r="I121" s="32"/>
      <c r="J121" s="31"/>
      <c r="K121" s="32"/>
      <c r="L121" s="32"/>
      <c r="M121" s="31"/>
      <c r="N121" s="31"/>
      <c r="O121" s="17">
        <f>G121-L121</f>
        <v>0</v>
      </c>
      <c r="P121" s="165"/>
    </row>
    <row r="122" spans="1:16" s="63" customFormat="1" x14ac:dyDescent="0.25">
      <c r="A122" s="128"/>
      <c r="B122" s="104" t="s">
        <v>60</v>
      </c>
      <c r="C122" s="84"/>
      <c r="D122" s="84"/>
      <c r="E122" s="84"/>
      <c r="F122" s="31">
        <v>1.7</v>
      </c>
      <c r="G122" s="31">
        <v>1.7</v>
      </c>
      <c r="H122" s="31">
        <v>1.7</v>
      </c>
      <c r="I122" s="32">
        <f t="shared" si="76"/>
        <v>1</v>
      </c>
      <c r="J122" s="31">
        <v>1.7</v>
      </c>
      <c r="K122" s="77">
        <f t="shared" si="77"/>
        <v>1</v>
      </c>
      <c r="L122" s="117">
        <v>1.7</v>
      </c>
      <c r="M122" s="31">
        <f>G122</f>
        <v>1.7</v>
      </c>
      <c r="N122" s="31">
        <f t="shared" si="71"/>
        <v>0</v>
      </c>
      <c r="O122" s="17">
        <f>G122-L122</f>
        <v>0</v>
      </c>
      <c r="P122" s="165"/>
    </row>
    <row r="123" spans="1:16" s="63" customFormat="1" x14ac:dyDescent="0.25">
      <c r="A123" s="128"/>
      <c r="B123" s="104" t="s">
        <v>62</v>
      </c>
      <c r="C123" s="84"/>
      <c r="D123" s="84"/>
      <c r="E123" s="84"/>
      <c r="F123" s="31"/>
      <c r="G123" s="31"/>
      <c r="H123" s="31"/>
      <c r="I123" s="32"/>
      <c r="J123" s="31"/>
      <c r="K123" s="32"/>
      <c r="L123" s="32"/>
      <c r="M123" s="31"/>
      <c r="N123" s="31"/>
      <c r="O123" s="17">
        <f t="shared" ref="O123" si="79">G123-L123</f>
        <v>0</v>
      </c>
      <c r="P123" s="165"/>
    </row>
    <row r="124" spans="1:16" s="63" customFormat="1" x14ac:dyDescent="0.25">
      <c r="A124" s="128"/>
      <c r="B124" s="104" t="s">
        <v>13</v>
      </c>
      <c r="C124" s="84"/>
      <c r="D124" s="84"/>
      <c r="E124" s="84"/>
      <c r="F124" s="31"/>
      <c r="G124" s="31"/>
      <c r="H124" s="31"/>
      <c r="I124" s="32"/>
      <c r="J124" s="31"/>
      <c r="K124" s="32"/>
      <c r="L124" s="32"/>
      <c r="M124" s="31"/>
      <c r="N124" s="31"/>
      <c r="O124" s="17"/>
      <c r="P124" s="165"/>
    </row>
    <row r="125" spans="1:16" s="63" customFormat="1" collapsed="1" x14ac:dyDescent="0.25">
      <c r="A125" s="128"/>
      <c r="B125" s="104" t="s">
        <v>5</v>
      </c>
      <c r="C125" s="84"/>
      <c r="D125" s="84"/>
      <c r="E125" s="84"/>
      <c r="F125" s="31"/>
      <c r="G125" s="31"/>
      <c r="H125" s="31"/>
      <c r="I125" s="32"/>
      <c r="J125" s="31"/>
      <c r="K125" s="32"/>
      <c r="L125" s="32"/>
      <c r="M125" s="31"/>
      <c r="N125" s="31"/>
      <c r="O125" s="17"/>
      <c r="P125" s="165"/>
    </row>
    <row r="126" spans="1:16" s="65" customFormat="1" ht="118.5" customHeight="1" outlineLevel="1" x14ac:dyDescent="0.25">
      <c r="A126" s="128" t="s">
        <v>81</v>
      </c>
      <c r="B126" s="124" t="s">
        <v>69</v>
      </c>
      <c r="C126" s="64"/>
      <c r="D126" s="64"/>
      <c r="E126" s="64"/>
      <c r="F126" s="107">
        <f t="shared" ref="F126:H126" si="80">SUM(F127:F131)</f>
        <v>9116.06</v>
      </c>
      <c r="G126" s="107">
        <f t="shared" si="80"/>
        <v>10635.4</v>
      </c>
      <c r="H126" s="107">
        <f t="shared" si="80"/>
        <v>10635.4</v>
      </c>
      <c r="I126" s="115">
        <f t="shared" si="76"/>
        <v>1</v>
      </c>
      <c r="J126" s="107">
        <f>SUM(J127:J131)</f>
        <v>4558.03</v>
      </c>
      <c r="K126" s="115">
        <f t="shared" si="77"/>
        <v>0.43</v>
      </c>
      <c r="L126" s="31">
        <f>L127</f>
        <v>10635.4</v>
      </c>
      <c r="M126" s="107">
        <f>SUM(M127:M131)</f>
        <v>10635.4</v>
      </c>
      <c r="N126" s="107">
        <f t="shared" si="71"/>
        <v>0</v>
      </c>
      <c r="O126" s="16">
        <f t="shared" ref="O126" si="81">O127+O128+O129+O130+O131</f>
        <v>0</v>
      </c>
      <c r="P126" s="165" t="s">
        <v>127</v>
      </c>
    </row>
    <row r="127" spans="1:16" s="63" customFormat="1" outlineLevel="1" x14ac:dyDescent="0.25">
      <c r="A127" s="128"/>
      <c r="B127" s="104" t="s">
        <v>4</v>
      </c>
      <c r="C127" s="84"/>
      <c r="D127" s="84"/>
      <c r="E127" s="84"/>
      <c r="F127" s="31">
        <v>9116.06</v>
      </c>
      <c r="G127" s="31">
        <v>10635.4</v>
      </c>
      <c r="H127" s="31">
        <v>10635.4</v>
      </c>
      <c r="I127" s="32">
        <f t="shared" si="76"/>
        <v>1</v>
      </c>
      <c r="J127" s="31">
        <v>4558.03</v>
      </c>
      <c r="K127" s="32">
        <f t="shared" si="77"/>
        <v>0.43</v>
      </c>
      <c r="L127" s="119">
        <v>10635.4</v>
      </c>
      <c r="M127" s="31">
        <f>G127</f>
        <v>10635.4</v>
      </c>
      <c r="N127" s="31">
        <f t="shared" si="71"/>
        <v>0</v>
      </c>
      <c r="O127" s="17">
        <f>G127-L127</f>
        <v>0</v>
      </c>
      <c r="P127" s="165"/>
    </row>
    <row r="128" spans="1:16" s="63" customFormat="1" outlineLevel="1" x14ac:dyDescent="0.25">
      <c r="A128" s="128"/>
      <c r="B128" s="104" t="s">
        <v>60</v>
      </c>
      <c r="C128" s="84"/>
      <c r="D128" s="84"/>
      <c r="E128" s="84"/>
      <c r="F128" s="31"/>
      <c r="G128" s="31"/>
      <c r="H128" s="31"/>
      <c r="I128" s="32"/>
      <c r="J128" s="31"/>
      <c r="K128" s="32"/>
      <c r="L128" s="32"/>
      <c r="M128" s="31"/>
      <c r="N128" s="31"/>
      <c r="O128" s="17">
        <f>G128-L128</f>
        <v>0</v>
      </c>
      <c r="P128" s="165"/>
    </row>
    <row r="129" spans="1:16" s="63" customFormat="1" outlineLevel="1" x14ac:dyDescent="0.25">
      <c r="A129" s="128"/>
      <c r="B129" s="104" t="s">
        <v>62</v>
      </c>
      <c r="C129" s="84"/>
      <c r="D129" s="84"/>
      <c r="E129" s="84"/>
      <c r="F129" s="31"/>
      <c r="G129" s="31"/>
      <c r="H129" s="31"/>
      <c r="I129" s="32"/>
      <c r="J129" s="31"/>
      <c r="K129" s="32"/>
      <c r="L129" s="32"/>
      <c r="M129" s="31"/>
      <c r="N129" s="31"/>
      <c r="O129" s="17">
        <f t="shared" ref="O129" si="82">G129-L129</f>
        <v>0</v>
      </c>
      <c r="P129" s="165"/>
    </row>
    <row r="130" spans="1:16" s="63" customFormat="1" outlineLevel="1" x14ac:dyDescent="0.25">
      <c r="A130" s="128"/>
      <c r="B130" s="104" t="s">
        <v>13</v>
      </c>
      <c r="C130" s="84"/>
      <c r="D130" s="84"/>
      <c r="E130" s="84"/>
      <c r="F130" s="31"/>
      <c r="G130" s="93"/>
      <c r="H130" s="31"/>
      <c r="I130" s="32"/>
      <c r="J130" s="31"/>
      <c r="K130" s="32"/>
      <c r="L130" s="32"/>
      <c r="M130" s="31"/>
      <c r="N130" s="31"/>
      <c r="O130" s="17"/>
      <c r="P130" s="165"/>
    </row>
    <row r="131" spans="1:16" s="63" customFormat="1" outlineLevel="1" collapsed="1" x14ac:dyDescent="0.25">
      <c r="A131" s="128"/>
      <c r="B131" s="104" t="s">
        <v>5</v>
      </c>
      <c r="C131" s="84"/>
      <c r="D131" s="84"/>
      <c r="E131" s="84"/>
      <c r="F131" s="31"/>
      <c r="G131" s="93"/>
      <c r="H131" s="31"/>
      <c r="I131" s="32"/>
      <c r="J131" s="31"/>
      <c r="K131" s="32"/>
      <c r="L131" s="32"/>
      <c r="M131" s="31"/>
      <c r="N131" s="31"/>
      <c r="O131" s="17"/>
      <c r="P131" s="165"/>
    </row>
    <row r="132" spans="1:16" s="61" customFormat="1" ht="89.25" customHeight="1" x14ac:dyDescent="0.25">
      <c r="A132" s="128" t="s">
        <v>82</v>
      </c>
      <c r="B132" s="124" t="s">
        <v>70</v>
      </c>
      <c r="C132" s="60"/>
      <c r="D132" s="60"/>
      <c r="E132" s="60"/>
      <c r="F132" s="107">
        <f t="shared" ref="F132:H132" si="83">SUM(F133:F137)</f>
        <v>5950.76</v>
      </c>
      <c r="G132" s="107">
        <f t="shared" si="83"/>
        <v>5950.76</v>
      </c>
      <c r="H132" s="107">
        <f t="shared" si="83"/>
        <v>5950.76</v>
      </c>
      <c r="I132" s="115">
        <f t="shared" si="76"/>
        <v>1</v>
      </c>
      <c r="J132" s="107">
        <f>SUM(J133:J137)</f>
        <v>5794.61</v>
      </c>
      <c r="K132" s="115">
        <f t="shared" si="77"/>
        <v>0.97</v>
      </c>
      <c r="L132" s="107">
        <f>SUM(L133:L137)</f>
        <v>5794.61</v>
      </c>
      <c r="M132" s="107">
        <f>SUM(M133:M137)</f>
        <v>5950.76</v>
      </c>
      <c r="N132" s="107">
        <f t="shared" si="71"/>
        <v>0</v>
      </c>
      <c r="O132" s="107">
        <f t="shared" ref="O132" si="84">O133+O134+O135+O136+O137</f>
        <v>156.15</v>
      </c>
      <c r="P132" s="162" t="s">
        <v>84</v>
      </c>
    </row>
    <row r="133" spans="1:16" s="57" customFormat="1" ht="25.5" customHeight="1" x14ac:dyDescent="0.25">
      <c r="A133" s="128"/>
      <c r="B133" s="104" t="s">
        <v>4</v>
      </c>
      <c r="C133" s="58"/>
      <c r="D133" s="58"/>
      <c r="E133" s="58"/>
      <c r="F133" s="31">
        <v>4558.03</v>
      </c>
      <c r="G133" s="31">
        <v>4558.03</v>
      </c>
      <c r="H133" s="31">
        <f>G133</f>
        <v>4558.03</v>
      </c>
      <c r="I133" s="32">
        <f t="shared" si="76"/>
        <v>1</v>
      </c>
      <c r="J133" s="31">
        <v>4558.03</v>
      </c>
      <c r="K133" s="32">
        <f t="shared" si="77"/>
        <v>1</v>
      </c>
      <c r="L133" s="120">
        <v>4558.0320000000002</v>
      </c>
      <c r="M133" s="31">
        <f>G133</f>
        <v>4558.03</v>
      </c>
      <c r="N133" s="31">
        <f t="shared" si="71"/>
        <v>0</v>
      </c>
      <c r="O133" s="31">
        <f>G133-L133</f>
        <v>0</v>
      </c>
      <c r="P133" s="162"/>
    </row>
    <row r="134" spans="1:16" s="57" customFormat="1" ht="25.5" customHeight="1" x14ac:dyDescent="0.25">
      <c r="A134" s="128"/>
      <c r="B134" s="104" t="s">
        <v>60</v>
      </c>
      <c r="C134" s="58"/>
      <c r="D134" s="58"/>
      <c r="E134" s="58"/>
      <c r="F134" s="31">
        <v>1392.73</v>
      </c>
      <c r="G134" s="31">
        <v>1392.73</v>
      </c>
      <c r="H134" s="47">
        <f>G134</f>
        <v>1392.73</v>
      </c>
      <c r="I134" s="32">
        <f t="shared" si="76"/>
        <v>1</v>
      </c>
      <c r="J134" s="31">
        <v>1236.58</v>
      </c>
      <c r="K134" s="32">
        <f t="shared" si="77"/>
        <v>0.89</v>
      </c>
      <c r="L134" s="31">
        <v>1236.58</v>
      </c>
      <c r="M134" s="31">
        <f>G134</f>
        <v>1392.73</v>
      </c>
      <c r="N134" s="31">
        <f t="shared" si="71"/>
        <v>0</v>
      </c>
      <c r="O134" s="31">
        <f>G134-L134</f>
        <v>156.15</v>
      </c>
      <c r="P134" s="162"/>
    </row>
    <row r="135" spans="1:16" s="57" customFormat="1" ht="25.5" customHeight="1" x14ac:dyDescent="0.25">
      <c r="A135" s="128"/>
      <c r="B135" s="104" t="s">
        <v>62</v>
      </c>
      <c r="C135" s="58"/>
      <c r="D135" s="58"/>
      <c r="E135" s="58"/>
      <c r="F135" s="31"/>
      <c r="G135" s="31"/>
      <c r="H135" s="31"/>
      <c r="I135" s="32"/>
      <c r="J135" s="31"/>
      <c r="K135" s="32"/>
      <c r="L135" s="32"/>
      <c r="M135" s="31"/>
      <c r="N135" s="31"/>
      <c r="O135" s="31">
        <f t="shared" ref="O135" si="85">G135-L135</f>
        <v>0</v>
      </c>
      <c r="P135" s="162"/>
    </row>
    <row r="136" spans="1:16" s="57" customFormat="1" ht="25.5" customHeight="1" x14ac:dyDescent="0.25">
      <c r="A136" s="128"/>
      <c r="B136" s="104" t="s">
        <v>13</v>
      </c>
      <c r="C136" s="58"/>
      <c r="D136" s="58"/>
      <c r="E136" s="58"/>
      <c r="F136" s="31"/>
      <c r="G136" s="93"/>
      <c r="H136" s="31"/>
      <c r="I136" s="32"/>
      <c r="J136" s="31"/>
      <c r="K136" s="32"/>
      <c r="L136" s="32"/>
      <c r="M136" s="31"/>
      <c r="N136" s="31"/>
      <c r="O136" s="31"/>
      <c r="P136" s="162"/>
    </row>
    <row r="137" spans="1:16" s="57" customFormat="1" ht="25.5" customHeight="1" x14ac:dyDescent="0.25">
      <c r="A137" s="128"/>
      <c r="B137" s="104" t="s">
        <v>5</v>
      </c>
      <c r="C137" s="58"/>
      <c r="D137" s="58"/>
      <c r="E137" s="58"/>
      <c r="F137" s="31"/>
      <c r="G137" s="93"/>
      <c r="H137" s="31"/>
      <c r="I137" s="32"/>
      <c r="J137" s="31"/>
      <c r="K137" s="32"/>
      <c r="L137" s="32"/>
      <c r="M137" s="31"/>
      <c r="N137" s="31"/>
      <c r="O137" s="31"/>
      <c r="P137" s="162"/>
    </row>
    <row r="138" spans="1:16" s="61" customFormat="1" ht="80.25" customHeight="1" x14ac:dyDescent="0.25">
      <c r="A138" s="128" t="s">
        <v>83</v>
      </c>
      <c r="B138" s="124" t="s">
        <v>104</v>
      </c>
      <c r="C138" s="60"/>
      <c r="D138" s="60"/>
      <c r="E138" s="60"/>
      <c r="F138" s="107">
        <f t="shared" ref="F138:H138" si="86">SUM(F139:F143)</f>
        <v>2438.1</v>
      </c>
      <c r="G138" s="107">
        <f t="shared" si="86"/>
        <v>2438.1</v>
      </c>
      <c r="H138" s="107">
        <f t="shared" si="86"/>
        <v>0</v>
      </c>
      <c r="I138" s="115">
        <f t="shared" si="76"/>
        <v>0</v>
      </c>
      <c r="J138" s="107">
        <f>SUM(J139:J143)</f>
        <v>0</v>
      </c>
      <c r="K138" s="115">
        <f t="shared" si="77"/>
        <v>0</v>
      </c>
      <c r="L138" s="115"/>
      <c r="M138" s="107">
        <f>SUM(M139:M143)</f>
        <v>2438.1</v>
      </c>
      <c r="N138" s="107">
        <f t="shared" si="71"/>
        <v>0</v>
      </c>
      <c r="O138" s="107">
        <f t="shared" ref="O138" si="87">O139+O140+O141+O142+O143</f>
        <v>2438.1</v>
      </c>
      <c r="P138" s="92" t="s">
        <v>105</v>
      </c>
    </row>
    <row r="139" spans="1:16" s="57" customFormat="1" x14ac:dyDescent="0.25">
      <c r="A139" s="129"/>
      <c r="B139" s="104" t="s">
        <v>71</v>
      </c>
      <c r="C139" s="58"/>
      <c r="D139" s="58"/>
      <c r="E139" s="58"/>
      <c r="F139" s="31">
        <v>2438.1</v>
      </c>
      <c r="G139" s="31">
        <v>2438.1</v>
      </c>
      <c r="H139" s="31"/>
      <c r="I139" s="32">
        <f t="shared" si="76"/>
        <v>0</v>
      </c>
      <c r="J139" s="31"/>
      <c r="K139" s="32">
        <f t="shared" si="77"/>
        <v>0</v>
      </c>
      <c r="L139" s="32">
        <v>0</v>
      </c>
      <c r="M139" s="31">
        <f>G139</f>
        <v>2438.1</v>
      </c>
      <c r="N139" s="31">
        <f t="shared" si="71"/>
        <v>0</v>
      </c>
      <c r="O139" s="31">
        <f>G139-L139</f>
        <v>2438.1</v>
      </c>
      <c r="P139" s="79"/>
    </row>
    <row r="140" spans="1:16" s="57" customFormat="1" x14ac:dyDescent="0.25">
      <c r="A140" s="129"/>
      <c r="B140" s="104" t="s">
        <v>60</v>
      </c>
      <c r="C140" s="58"/>
      <c r="D140" s="58"/>
      <c r="E140" s="58"/>
      <c r="F140" s="31"/>
      <c r="G140" s="31"/>
      <c r="H140" s="31"/>
      <c r="I140" s="32"/>
      <c r="J140" s="31"/>
      <c r="K140" s="32"/>
      <c r="L140" s="32"/>
      <c r="M140" s="31"/>
      <c r="N140" s="31"/>
      <c r="O140" s="31">
        <f>G140-L140</f>
        <v>0</v>
      </c>
      <c r="P140" s="79"/>
    </row>
    <row r="141" spans="1:16" s="57" customFormat="1" x14ac:dyDescent="0.25">
      <c r="A141" s="129"/>
      <c r="B141" s="104" t="s">
        <v>62</v>
      </c>
      <c r="C141" s="58"/>
      <c r="D141" s="58"/>
      <c r="E141" s="58"/>
      <c r="F141" s="31"/>
      <c r="G141" s="31"/>
      <c r="H141" s="31"/>
      <c r="I141" s="32"/>
      <c r="J141" s="31"/>
      <c r="K141" s="32"/>
      <c r="L141" s="32"/>
      <c r="M141" s="31"/>
      <c r="N141" s="31"/>
      <c r="O141" s="31">
        <f t="shared" ref="O141" si="88">G141-L141</f>
        <v>0</v>
      </c>
      <c r="P141" s="79"/>
    </row>
    <row r="142" spans="1:16" s="57" customFormat="1" x14ac:dyDescent="0.25">
      <c r="A142" s="129"/>
      <c r="B142" s="104" t="s">
        <v>13</v>
      </c>
      <c r="C142" s="58"/>
      <c r="D142" s="58"/>
      <c r="E142" s="58"/>
      <c r="F142" s="31"/>
      <c r="G142" s="93"/>
      <c r="H142" s="31"/>
      <c r="I142" s="32"/>
      <c r="J142" s="31"/>
      <c r="K142" s="32"/>
      <c r="L142" s="32"/>
      <c r="M142" s="31"/>
      <c r="N142" s="31"/>
      <c r="O142" s="31"/>
      <c r="P142" s="79"/>
    </row>
    <row r="143" spans="1:16" s="57" customFormat="1" x14ac:dyDescent="0.25">
      <c r="A143" s="129"/>
      <c r="B143" s="104" t="s">
        <v>5</v>
      </c>
      <c r="C143" s="58"/>
      <c r="D143" s="58"/>
      <c r="E143" s="58"/>
      <c r="F143" s="31"/>
      <c r="G143" s="93"/>
      <c r="H143" s="31"/>
      <c r="I143" s="32"/>
      <c r="J143" s="31"/>
      <c r="K143" s="32"/>
      <c r="L143" s="32"/>
      <c r="M143" s="31"/>
      <c r="N143" s="31"/>
      <c r="O143" s="31"/>
      <c r="P143" s="79"/>
    </row>
    <row r="144" spans="1:16" s="52" customFormat="1" ht="408" customHeight="1" x14ac:dyDescent="0.25">
      <c r="A144" s="145" t="s">
        <v>24</v>
      </c>
      <c r="B144" s="150" t="s">
        <v>95</v>
      </c>
      <c r="C144" s="16">
        <f>SUM(C146:C150)</f>
        <v>0</v>
      </c>
      <c r="D144" s="16">
        <f>SUM(D146:D150)</f>
        <v>0</v>
      </c>
      <c r="E144" s="16">
        <f>SUM(E146:E150)</f>
        <v>0</v>
      </c>
      <c r="F144" s="152">
        <f>SUM(F146:F150)</f>
        <v>196044.39</v>
      </c>
      <c r="G144" s="152">
        <f>SUM(G146:G150)</f>
        <v>258526.67</v>
      </c>
      <c r="H144" s="152">
        <f t="shared" ref="H144:J144" si="89">SUM(H146:H150)</f>
        <v>106287.48</v>
      </c>
      <c r="I144" s="154">
        <f t="shared" si="76"/>
        <v>0.41</v>
      </c>
      <c r="J144" s="152">
        <f t="shared" si="89"/>
        <v>83266.59</v>
      </c>
      <c r="K144" s="154">
        <f t="shared" si="77"/>
        <v>0.32</v>
      </c>
      <c r="L144" s="132">
        <f>L146+L147+L148+L149+L150</f>
        <v>255135.21</v>
      </c>
      <c r="M144" s="101"/>
      <c r="N144" s="101"/>
      <c r="O144" s="132">
        <f>SUM(O146:O150)</f>
        <v>3391.46</v>
      </c>
      <c r="P144" s="146" t="s">
        <v>103</v>
      </c>
    </row>
    <row r="145" spans="1:16" s="52" customFormat="1" ht="83.25" customHeight="1" x14ac:dyDescent="0.25">
      <c r="A145" s="145"/>
      <c r="B145" s="151"/>
      <c r="C145" s="16"/>
      <c r="D145" s="16"/>
      <c r="E145" s="16"/>
      <c r="F145" s="153"/>
      <c r="G145" s="153"/>
      <c r="H145" s="153"/>
      <c r="I145" s="155"/>
      <c r="J145" s="153"/>
      <c r="K145" s="155"/>
      <c r="L145" s="133"/>
      <c r="M145" s="101"/>
      <c r="N145" s="101"/>
      <c r="O145" s="133"/>
      <c r="P145" s="146"/>
    </row>
    <row r="146" spans="1:16" s="49" customFormat="1" ht="23.25" customHeight="1" x14ac:dyDescent="0.25">
      <c r="A146" s="145"/>
      <c r="B146" s="95" t="s">
        <v>4</v>
      </c>
      <c r="C146" s="17"/>
      <c r="D146" s="17"/>
      <c r="E146" s="16"/>
      <c r="F146" s="17"/>
      <c r="G146" s="17"/>
      <c r="H146" s="17"/>
      <c r="I146" s="19"/>
      <c r="J146" s="17"/>
      <c r="K146" s="19"/>
      <c r="L146" s="102"/>
      <c r="M146" s="46"/>
      <c r="N146" s="46"/>
      <c r="O146" s="102">
        <f>G146-L146</f>
        <v>0</v>
      </c>
      <c r="P146" s="147"/>
    </row>
    <row r="147" spans="1:16" s="49" customFormat="1" ht="36.75" customHeight="1" x14ac:dyDescent="0.25">
      <c r="A147" s="145"/>
      <c r="B147" s="95" t="s">
        <v>16</v>
      </c>
      <c r="C147" s="17"/>
      <c r="D147" s="17"/>
      <c r="E147" s="16"/>
      <c r="F147" s="17">
        <v>82288.800000000003</v>
      </c>
      <c r="G147" s="17">
        <v>128596.7</v>
      </c>
      <c r="H147" s="17">
        <v>45384.7</v>
      </c>
      <c r="I147" s="19">
        <f>H147/G147</f>
        <v>0.35</v>
      </c>
      <c r="J147" s="17">
        <v>22363.81</v>
      </c>
      <c r="K147" s="19">
        <f>J147/G147</f>
        <v>0.17</v>
      </c>
      <c r="L147" s="46">
        <f>109333.4+19263.3</f>
        <v>128596.7</v>
      </c>
      <c r="M147" s="46"/>
      <c r="N147" s="46"/>
      <c r="O147" s="47">
        <f>G147-L147</f>
        <v>0</v>
      </c>
      <c r="P147" s="147"/>
    </row>
    <row r="148" spans="1:16" s="49" customFormat="1" ht="30.75" customHeight="1" x14ac:dyDescent="0.25">
      <c r="A148" s="145"/>
      <c r="B148" s="95" t="s">
        <v>11</v>
      </c>
      <c r="C148" s="17"/>
      <c r="D148" s="17"/>
      <c r="E148" s="16"/>
      <c r="F148" s="17">
        <v>2031.5</v>
      </c>
      <c r="G148" s="17">
        <v>18205.88</v>
      </c>
      <c r="H148" s="17">
        <f>J148</f>
        <v>5099.8</v>
      </c>
      <c r="I148" s="19">
        <f>H148/G148</f>
        <v>0.28000000000000003</v>
      </c>
      <c r="J148" s="17">
        <v>5099.8</v>
      </c>
      <c r="K148" s="19">
        <f>J148/G148</f>
        <v>0.28000000000000003</v>
      </c>
      <c r="L148" s="17">
        <v>18205.88</v>
      </c>
      <c r="M148" s="46"/>
      <c r="N148" s="46"/>
      <c r="O148" s="47">
        <f>G148-L148</f>
        <v>0</v>
      </c>
      <c r="P148" s="147"/>
    </row>
    <row r="149" spans="1:16" s="49" customFormat="1" ht="23.25" customHeight="1" x14ac:dyDescent="0.25">
      <c r="A149" s="145"/>
      <c r="B149" s="95" t="s">
        <v>13</v>
      </c>
      <c r="C149" s="17"/>
      <c r="D149" s="17"/>
      <c r="E149" s="17"/>
      <c r="F149" s="17"/>
      <c r="G149" s="17"/>
      <c r="H149" s="85"/>
      <c r="I149" s="19"/>
      <c r="J149" s="85"/>
      <c r="K149" s="19"/>
      <c r="L149" s="46"/>
      <c r="M149" s="46"/>
      <c r="N149" s="46"/>
      <c r="O149" s="46">
        <f>G149-L149</f>
        <v>0</v>
      </c>
      <c r="P149" s="147"/>
    </row>
    <row r="150" spans="1:16" s="49" customFormat="1" ht="40.5" customHeight="1" x14ac:dyDescent="0.25">
      <c r="A150" s="145"/>
      <c r="B150" s="95" t="s">
        <v>5</v>
      </c>
      <c r="C150" s="17"/>
      <c r="D150" s="17"/>
      <c r="E150" s="17"/>
      <c r="F150" s="17">
        <v>111724.09</v>
      </c>
      <c r="G150" s="17">
        <v>111724.09</v>
      </c>
      <c r="H150" s="17">
        <v>55802.98</v>
      </c>
      <c r="I150" s="19">
        <f t="shared" ref="I150:I156" si="90">H150/G150</f>
        <v>0.5</v>
      </c>
      <c r="J150" s="17">
        <v>55802.98</v>
      </c>
      <c r="K150" s="19">
        <f t="shared" ref="K150:K156" si="91">J150/G150</f>
        <v>0.5</v>
      </c>
      <c r="L150" s="46">
        <v>108332.63</v>
      </c>
      <c r="M150" s="46"/>
      <c r="N150" s="46"/>
      <c r="O150" s="46">
        <f>G150-L150</f>
        <v>3391.46</v>
      </c>
      <c r="P150" s="147"/>
    </row>
    <row r="151" spans="1:16" s="52" customFormat="1" ht="409.5" customHeight="1" x14ac:dyDescent="0.25">
      <c r="A151" s="179" t="s">
        <v>25</v>
      </c>
      <c r="B151" s="134" t="s">
        <v>116</v>
      </c>
      <c r="C151" s="29"/>
      <c r="D151" s="29"/>
      <c r="E151" s="29"/>
      <c r="F151" s="174">
        <f>F153+F154+F155+F156+F157</f>
        <v>60370.879999999997</v>
      </c>
      <c r="G151" s="174">
        <f>G153+G154+G155+G156+G157</f>
        <v>65977.13</v>
      </c>
      <c r="H151" s="174">
        <f>H153+H154+H155+H156+H157</f>
        <v>47868.18</v>
      </c>
      <c r="I151" s="176">
        <f t="shared" si="90"/>
        <v>0.73</v>
      </c>
      <c r="J151" s="174">
        <f>J153+J154+J155+J156+J157</f>
        <v>45857.85</v>
      </c>
      <c r="K151" s="176">
        <f t="shared" si="91"/>
        <v>0.7</v>
      </c>
      <c r="L151" s="174">
        <f>L153+L154+L155+L156+L157</f>
        <v>65977.13</v>
      </c>
      <c r="M151" s="29">
        <f>M153+M154+M155+M156+M157</f>
        <v>0</v>
      </c>
      <c r="N151" s="29">
        <f>N153+N154+N155+N156+N157</f>
        <v>0</v>
      </c>
      <c r="O151" s="149">
        <f>O154+O153+O155+O156+O157</f>
        <v>0</v>
      </c>
      <c r="P151" s="143" t="s">
        <v>124</v>
      </c>
    </row>
    <row r="152" spans="1:16" s="52" customFormat="1" ht="190.5" customHeight="1" x14ac:dyDescent="0.25">
      <c r="A152" s="180"/>
      <c r="B152" s="135"/>
      <c r="C152" s="93"/>
      <c r="D152" s="93"/>
      <c r="E152" s="93"/>
      <c r="F152" s="175"/>
      <c r="G152" s="175"/>
      <c r="H152" s="175"/>
      <c r="I152" s="177"/>
      <c r="J152" s="175"/>
      <c r="K152" s="177"/>
      <c r="L152" s="175"/>
      <c r="M152" s="93"/>
      <c r="N152" s="93"/>
      <c r="O152" s="149"/>
      <c r="P152" s="144"/>
    </row>
    <row r="153" spans="1:16" s="49" customFormat="1" ht="39.75" customHeight="1" x14ac:dyDescent="0.25">
      <c r="A153" s="69"/>
      <c r="B153" s="95" t="s">
        <v>4</v>
      </c>
      <c r="C153" s="29"/>
      <c r="D153" s="29"/>
      <c r="E153" s="29"/>
      <c r="F153" s="31">
        <v>19563.2</v>
      </c>
      <c r="G153" s="31">
        <v>19563.2</v>
      </c>
      <c r="H153" s="31">
        <v>15888</v>
      </c>
      <c r="I153" s="32">
        <f>H153/G153</f>
        <v>0.81</v>
      </c>
      <c r="J153" s="31">
        <v>15651.1</v>
      </c>
      <c r="K153" s="32">
        <f t="shared" si="91"/>
        <v>0.8</v>
      </c>
      <c r="L153" s="31">
        <v>19563.2</v>
      </c>
      <c r="M153" s="17"/>
      <c r="N153" s="17"/>
      <c r="O153" s="149"/>
      <c r="P153" s="144"/>
    </row>
    <row r="154" spans="1:16" s="49" customFormat="1" ht="39.75" customHeight="1" x14ac:dyDescent="0.25">
      <c r="A154" s="70"/>
      <c r="B154" s="95" t="s">
        <v>16</v>
      </c>
      <c r="C154" s="29"/>
      <c r="D154" s="29"/>
      <c r="E154" s="29"/>
      <c r="F154" s="31">
        <v>19941.2</v>
      </c>
      <c r="G154" s="31">
        <v>22241.200000000001</v>
      </c>
      <c r="H154" s="31">
        <v>16493.45</v>
      </c>
      <c r="I154" s="32">
        <f t="shared" si="90"/>
        <v>0.74</v>
      </c>
      <c r="J154" s="31">
        <v>14720.02</v>
      </c>
      <c r="K154" s="32">
        <f t="shared" si="91"/>
        <v>0.66</v>
      </c>
      <c r="L154" s="31">
        <f>15988.4+5152.8+1100</f>
        <v>22241.200000000001</v>
      </c>
      <c r="M154" s="17"/>
      <c r="N154" s="17"/>
      <c r="O154" s="149"/>
      <c r="P154" s="144"/>
    </row>
    <row r="155" spans="1:16" s="49" customFormat="1" ht="39.75" customHeight="1" x14ac:dyDescent="0.25">
      <c r="A155" s="70"/>
      <c r="B155" s="95" t="s">
        <v>11</v>
      </c>
      <c r="C155" s="29"/>
      <c r="D155" s="29"/>
      <c r="E155" s="29"/>
      <c r="F155" s="31">
        <v>1102.2</v>
      </c>
      <c r="G155" s="31">
        <v>1102.2</v>
      </c>
      <c r="H155" s="31">
        <f>J155</f>
        <v>954.9</v>
      </c>
      <c r="I155" s="32">
        <f t="shared" si="90"/>
        <v>0.87</v>
      </c>
      <c r="J155" s="31">
        <f>954.9</f>
        <v>954.9</v>
      </c>
      <c r="K155" s="32">
        <f t="shared" si="91"/>
        <v>0.87</v>
      </c>
      <c r="L155" s="31">
        <v>1102.2</v>
      </c>
      <c r="M155" s="17"/>
      <c r="N155" s="17"/>
      <c r="O155" s="149"/>
      <c r="P155" s="144"/>
    </row>
    <row r="156" spans="1:16" s="49" customFormat="1" ht="39.75" customHeight="1" x14ac:dyDescent="0.25">
      <c r="A156" s="70"/>
      <c r="B156" s="95" t="s">
        <v>13</v>
      </c>
      <c r="C156" s="29"/>
      <c r="D156" s="29"/>
      <c r="E156" s="29"/>
      <c r="F156" s="31">
        <v>19764.28</v>
      </c>
      <c r="G156" s="31">
        <f>24172.73-G155</f>
        <v>23070.53</v>
      </c>
      <c r="H156" s="31">
        <f>15486.73-H155</f>
        <v>14531.83</v>
      </c>
      <c r="I156" s="32">
        <f t="shared" si="90"/>
        <v>0.63</v>
      </c>
      <c r="J156" s="31">
        <f>H156</f>
        <v>14531.83</v>
      </c>
      <c r="K156" s="32">
        <f t="shared" si="91"/>
        <v>0.63</v>
      </c>
      <c r="L156" s="31">
        <f>G156</f>
        <v>23070.53</v>
      </c>
      <c r="M156" s="17"/>
      <c r="N156" s="17"/>
      <c r="O156" s="149"/>
      <c r="P156" s="144"/>
    </row>
    <row r="157" spans="1:16" s="49" customFormat="1" ht="39.75" customHeight="1" x14ac:dyDescent="0.25">
      <c r="A157" s="70"/>
      <c r="B157" s="95" t="s">
        <v>5</v>
      </c>
      <c r="C157" s="31"/>
      <c r="D157" s="31"/>
      <c r="E157" s="31"/>
      <c r="F157" s="31"/>
      <c r="G157" s="31"/>
      <c r="H157" s="31"/>
      <c r="I157" s="32"/>
      <c r="J157" s="31"/>
      <c r="K157" s="32"/>
      <c r="L157" s="31"/>
      <c r="M157" s="17"/>
      <c r="N157" s="17"/>
      <c r="O157" s="149"/>
      <c r="P157" s="144"/>
    </row>
    <row r="158" spans="1:16" s="52" customFormat="1" ht="111" customHeight="1" x14ac:dyDescent="0.25">
      <c r="A158" s="105" t="s">
        <v>26</v>
      </c>
      <c r="B158" s="98" t="s">
        <v>48</v>
      </c>
      <c r="C158" s="16"/>
      <c r="D158" s="16"/>
      <c r="E158" s="16"/>
      <c r="F158" s="25"/>
      <c r="G158" s="25"/>
      <c r="H158" s="25"/>
      <c r="I158" s="26"/>
      <c r="J158" s="25"/>
      <c r="K158" s="26"/>
      <c r="L158" s="26"/>
      <c r="M158" s="18"/>
      <c r="N158" s="18"/>
      <c r="O158" s="18"/>
      <c r="P158" s="86" t="s">
        <v>59</v>
      </c>
    </row>
    <row r="159" spans="1:16" s="52" customFormat="1" x14ac:dyDescent="0.25">
      <c r="A159" s="105"/>
      <c r="B159" s="95" t="s">
        <v>4</v>
      </c>
      <c r="C159" s="16"/>
      <c r="D159" s="16"/>
      <c r="E159" s="16"/>
      <c r="F159" s="25"/>
      <c r="G159" s="25"/>
      <c r="H159" s="25"/>
      <c r="I159" s="26"/>
      <c r="J159" s="25"/>
      <c r="K159" s="26"/>
      <c r="L159" s="26"/>
      <c r="M159" s="18"/>
      <c r="N159" s="18"/>
      <c r="O159" s="18"/>
      <c r="P159" s="86"/>
    </row>
    <row r="160" spans="1:16" s="52" customFormat="1" x14ac:dyDescent="0.25">
      <c r="A160" s="105"/>
      <c r="B160" s="95" t="s">
        <v>16</v>
      </c>
      <c r="C160" s="16"/>
      <c r="D160" s="16"/>
      <c r="E160" s="16"/>
      <c r="F160" s="25"/>
      <c r="G160" s="25"/>
      <c r="H160" s="25"/>
      <c r="I160" s="26"/>
      <c r="J160" s="25"/>
      <c r="K160" s="26"/>
      <c r="L160" s="26"/>
      <c r="M160" s="18"/>
      <c r="N160" s="18"/>
      <c r="O160" s="18"/>
      <c r="P160" s="86"/>
    </row>
    <row r="161" spans="1:16" s="52" customFormat="1" x14ac:dyDescent="0.25">
      <c r="A161" s="105"/>
      <c r="B161" s="95" t="s">
        <v>11</v>
      </c>
      <c r="C161" s="16"/>
      <c r="D161" s="16"/>
      <c r="E161" s="16"/>
      <c r="F161" s="25"/>
      <c r="G161" s="25"/>
      <c r="H161" s="25"/>
      <c r="I161" s="26"/>
      <c r="J161" s="25"/>
      <c r="K161" s="26"/>
      <c r="L161" s="26"/>
      <c r="M161" s="18"/>
      <c r="N161" s="18"/>
      <c r="O161" s="18"/>
      <c r="P161" s="86"/>
    </row>
    <row r="162" spans="1:16" s="52" customFormat="1" x14ac:dyDescent="0.25">
      <c r="A162" s="105"/>
      <c r="B162" s="95" t="s">
        <v>13</v>
      </c>
      <c r="C162" s="16"/>
      <c r="D162" s="16"/>
      <c r="E162" s="16"/>
      <c r="F162" s="25"/>
      <c r="G162" s="25"/>
      <c r="H162" s="25"/>
      <c r="I162" s="26"/>
      <c r="J162" s="25"/>
      <c r="K162" s="26"/>
      <c r="L162" s="26"/>
      <c r="M162" s="18"/>
      <c r="N162" s="18"/>
      <c r="O162" s="18"/>
      <c r="P162" s="86"/>
    </row>
    <row r="163" spans="1:16" s="52" customFormat="1" x14ac:dyDescent="0.25">
      <c r="A163" s="105"/>
      <c r="B163" s="95" t="s">
        <v>5</v>
      </c>
      <c r="C163" s="16"/>
      <c r="D163" s="16"/>
      <c r="E163" s="16"/>
      <c r="F163" s="25"/>
      <c r="G163" s="25"/>
      <c r="H163" s="25"/>
      <c r="I163" s="26"/>
      <c r="J163" s="25"/>
      <c r="K163" s="26"/>
      <c r="L163" s="26"/>
      <c r="M163" s="18"/>
      <c r="N163" s="18"/>
      <c r="O163" s="18"/>
      <c r="P163" s="86"/>
    </row>
    <row r="164" spans="1:16" s="53" customFormat="1" ht="117" customHeight="1" x14ac:dyDescent="0.25">
      <c r="A164" s="105" t="s">
        <v>27</v>
      </c>
      <c r="B164" s="98" t="s">
        <v>49</v>
      </c>
      <c r="C164" s="16"/>
      <c r="D164" s="16"/>
      <c r="E164" s="16"/>
      <c r="F164" s="25"/>
      <c r="G164" s="25"/>
      <c r="H164" s="25"/>
      <c r="I164" s="26"/>
      <c r="J164" s="25"/>
      <c r="K164" s="26"/>
      <c r="L164" s="26"/>
      <c r="M164" s="18"/>
      <c r="N164" s="18"/>
      <c r="O164" s="18"/>
      <c r="P164" s="86" t="s">
        <v>59</v>
      </c>
    </row>
    <row r="165" spans="1:16" s="53" customFormat="1" ht="35.25" customHeight="1" x14ac:dyDescent="0.25">
      <c r="A165" s="105"/>
      <c r="B165" s="95" t="s">
        <v>4</v>
      </c>
      <c r="C165" s="16"/>
      <c r="D165" s="16"/>
      <c r="E165" s="16"/>
      <c r="F165" s="25"/>
      <c r="G165" s="25"/>
      <c r="H165" s="25"/>
      <c r="I165" s="26"/>
      <c r="J165" s="25"/>
      <c r="K165" s="26"/>
      <c r="L165" s="26"/>
      <c r="M165" s="18"/>
      <c r="N165" s="18"/>
      <c r="O165" s="18"/>
      <c r="P165" s="86"/>
    </row>
    <row r="166" spans="1:16" s="53" customFormat="1" ht="35.25" customHeight="1" x14ac:dyDescent="0.25">
      <c r="A166" s="105"/>
      <c r="B166" s="95" t="s">
        <v>16</v>
      </c>
      <c r="C166" s="16"/>
      <c r="D166" s="16"/>
      <c r="E166" s="16"/>
      <c r="F166" s="25"/>
      <c r="G166" s="25"/>
      <c r="H166" s="25"/>
      <c r="I166" s="26"/>
      <c r="J166" s="25"/>
      <c r="K166" s="26"/>
      <c r="L166" s="26"/>
      <c r="M166" s="18"/>
      <c r="N166" s="18"/>
      <c r="O166" s="18"/>
      <c r="P166" s="86"/>
    </row>
    <row r="167" spans="1:16" s="53" customFormat="1" ht="35.25" customHeight="1" x14ac:dyDescent="0.25">
      <c r="A167" s="105"/>
      <c r="B167" s="95" t="s">
        <v>11</v>
      </c>
      <c r="C167" s="16"/>
      <c r="D167" s="16"/>
      <c r="E167" s="16"/>
      <c r="F167" s="25"/>
      <c r="G167" s="25"/>
      <c r="H167" s="25"/>
      <c r="I167" s="26"/>
      <c r="J167" s="25"/>
      <c r="K167" s="26"/>
      <c r="L167" s="26"/>
      <c r="M167" s="18"/>
      <c r="N167" s="18"/>
      <c r="O167" s="18"/>
      <c r="P167" s="86"/>
    </row>
    <row r="168" spans="1:16" s="53" customFormat="1" ht="35.25" customHeight="1" x14ac:dyDescent="0.25">
      <c r="A168" s="105"/>
      <c r="B168" s="95" t="s">
        <v>13</v>
      </c>
      <c r="C168" s="16"/>
      <c r="D168" s="16"/>
      <c r="E168" s="16"/>
      <c r="F168" s="25"/>
      <c r="G168" s="25"/>
      <c r="H168" s="25"/>
      <c r="I168" s="26"/>
      <c r="J168" s="25"/>
      <c r="K168" s="26"/>
      <c r="L168" s="26"/>
      <c r="M168" s="18"/>
      <c r="N168" s="18"/>
      <c r="O168" s="18"/>
      <c r="P168" s="86"/>
    </row>
    <row r="169" spans="1:16" s="53" customFormat="1" ht="35.25" customHeight="1" x14ac:dyDescent="0.25">
      <c r="A169" s="105"/>
      <c r="B169" s="95" t="s">
        <v>5</v>
      </c>
      <c r="C169" s="16"/>
      <c r="D169" s="16"/>
      <c r="E169" s="16"/>
      <c r="F169" s="25"/>
      <c r="G169" s="25"/>
      <c r="H169" s="25"/>
      <c r="I169" s="26"/>
      <c r="J169" s="25"/>
      <c r="K169" s="26"/>
      <c r="L169" s="26"/>
      <c r="M169" s="18"/>
      <c r="N169" s="18"/>
      <c r="O169" s="18"/>
      <c r="P169" s="86"/>
    </row>
    <row r="170" spans="1:16" s="52" customFormat="1" ht="360" customHeight="1" x14ac:dyDescent="0.25">
      <c r="A170" s="105" t="s">
        <v>28</v>
      </c>
      <c r="B170" s="98" t="s">
        <v>120</v>
      </c>
      <c r="C170" s="16" t="e">
        <f>SUM(C171:C175)</f>
        <v>#REF!</v>
      </c>
      <c r="D170" s="16" t="e">
        <f>SUM(D171:D175)</f>
        <v>#REF!</v>
      </c>
      <c r="E170" s="16">
        <v>0</v>
      </c>
      <c r="F170" s="16">
        <f>F172+F171+F173+F174+F175</f>
        <v>142882.93</v>
      </c>
      <c r="G170" s="16">
        <f t="shared" ref="G170:O170" si="92">G172+G171+G173+G174+G175</f>
        <v>198211.43</v>
      </c>
      <c r="H170" s="16">
        <f t="shared" si="92"/>
        <v>127954.36</v>
      </c>
      <c r="I170" s="19">
        <f>H170/G170</f>
        <v>0.65</v>
      </c>
      <c r="J170" s="16">
        <f>J172+J171+J173+J174+J175</f>
        <v>122140.19</v>
      </c>
      <c r="K170" s="19">
        <f t="shared" ref="K170:K173" si="93">J170/G170</f>
        <v>0.62</v>
      </c>
      <c r="L170" s="16">
        <f t="shared" si="92"/>
        <v>198211.43</v>
      </c>
      <c r="M170" s="16">
        <f t="shared" si="92"/>
        <v>0</v>
      </c>
      <c r="N170" s="16">
        <f t="shared" si="92"/>
        <v>0</v>
      </c>
      <c r="O170" s="16">
        <f t="shared" si="92"/>
        <v>0</v>
      </c>
      <c r="P170" s="181" t="s">
        <v>128</v>
      </c>
    </row>
    <row r="171" spans="1:16" s="49" customFormat="1" ht="39" customHeight="1" x14ac:dyDescent="0.25">
      <c r="A171" s="71"/>
      <c r="B171" s="95" t="s">
        <v>4</v>
      </c>
      <c r="C171" s="17"/>
      <c r="D171" s="17"/>
      <c r="E171" s="17"/>
      <c r="F171" s="21"/>
      <c r="G171" s="21"/>
      <c r="H171" s="21"/>
      <c r="I171" s="22"/>
      <c r="J171" s="21"/>
      <c r="K171" s="22"/>
      <c r="L171" s="21"/>
      <c r="M171" s="17"/>
      <c r="N171" s="17"/>
      <c r="O171" s="17"/>
      <c r="P171" s="141"/>
    </row>
    <row r="172" spans="1:16" s="49" customFormat="1" ht="119.25" customHeight="1" x14ac:dyDescent="0.25">
      <c r="A172" s="71"/>
      <c r="B172" s="95" t="s">
        <v>16</v>
      </c>
      <c r="C172" s="17"/>
      <c r="D172" s="17"/>
      <c r="E172" s="17"/>
      <c r="F172" s="31">
        <v>128460.67</v>
      </c>
      <c r="G172" s="31">
        <v>183789.17</v>
      </c>
      <c r="H172" s="31">
        <v>120535</v>
      </c>
      <c r="I172" s="19">
        <f>H172/G172</f>
        <v>0.66</v>
      </c>
      <c r="J172" s="31">
        <v>114720.83</v>
      </c>
      <c r="K172" s="19">
        <f t="shared" si="93"/>
        <v>0.62</v>
      </c>
      <c r="L172" s="31">
        <f>G172</f>
        <v>183789.17</v>
      </c>
      <c r="M172" s="17"/>
      <c r="N172" s="17"/>
      <c r="O172" s="39">
        <f>G172-L172</f>
        <v>0</v>
      </c>
      <c r="P172" s="141" t="s">
        <v>129</v>
      </c>
    </row>
    <row r="173" spans="1:16" s="49" customFormat="1" ht="119.25" customHeight="1" x14ac:dyDescent="0.25">
      <c r="A173" s="71"/>
      <c r="B173" s="95" t="s">
        <v>11</v>
      </c>
      <c r="C173" s="17" t="e">
        <f>#REF!</f>
        <v>#REF!</v>
      </c>
      <c r="D173" s="17" t="e">
        <f>#REF!</f>
        <v>#REF!</v>
      </c>
      <c r="E173" s="17" t="e">
        <f>#REF!</f>
        <v>#REF!</v>
      </c>
      <c r="F173" s="17">
        <v>10550.48</v>
      </c>
      <c r="G173" s="17">
        <f>F173</f>
        <v>10550.48</v>
      </c>
      <c r="H173" s="17">
        <f>J173</f>
        <v>4733.83</v>
      </c>
      <c r="I173" s="32">
        <f t="shared" ref="I173" si="94">H173/G173</f>
        <v>0.45</v>
      </c>
      <c r="J173" s="17">
        <f>7419.36-J174</f>
        <v>4733.83</v>
      </c>
      <c r="K173" s="19">
        <f t="shared" si="93"/>
        <v>0.45</v>
      </c>
      <c r="L173" s="31">
        <f>F173</f>
        <v>10550.48</v>
      </c>
      <c r="M173" s="17"/>
      <c r="N173" s="17"/>
      <c r="O173" s="39">
        <f>G173-L173</f>
        <v>0</v>
      </c>
      <c r="P173" s="141"/>
    </row>
    <row r="174" spans="1:16" s="49" customFormat="1" ht="119.25" customHeight="1" x14ac:dyDescent="0.25">
      <c r="A174" s="71"/>
      <c r="B174" s="95" t="s">
        <v>13</v>
      </c>
      <c r="C174" s="17"/>
      <c r="D174" s="17"/>
      <c r="E174" s="17"/>
      <c r="F174" s="17">
        <v>3871.78</v>
      </c>
      <c r="G174" s="17">
        <f>F174</f>
        <v>3871.78</v>
      </c>
      <c r="H174" s="17">
        <f>J174</f>
        <v>2685.53</v>
      </c>
      <c r="I174" s="32">
        <f>H174/G174</f>
        <v>0.69</v>
      </c>
      <c r="J174" s="17">
        <v>2685.53</v>
      </c>
      <c r="K174" s="19">
        <f>J174/G174</f>
        <v>0.69</v>
      </c>
      <c r="L174" s="31">
        <f>F174</f>
        <v>3871.78</v>
      </c>
      <c r="M174" s="17"/>
      <c r="N174" s="17"/>
      <c r="O174" s="39">
        <f>G174-L174</f>
        <v>0</v>
      </c>
      <c r="P174" s="141"/>
    </row>
    <row r="175" spans="1:16" s="49" customFormat="1" ht="119.25" customHeight="1" x14ac:dyDescent="0.25">
      <c r="A175" s="71"/>
      <c r="B175" s="95" t="s">
        <v>5</v>
      </c>
      <c r="C175" s="17"/>
      <c r="D175" s="17"/>
      <c r="E175" s="17"/>
      <c r="F175" s="17"/>
      <c r="G175" s="17"/>
      <c r="H175" s="17"/>
      <c r="I175" s="19"/>
      <c r="J175" s="17"/>
      <c r="K175" s="19"/>
      <c r="L175" s="17"/>
      <c r="M175" s="17"/>
      <c r="N175" s="17"/>
      <c r="O175" s="17"/>
      <c r="P175" s="142"/>
    </row>
    <row r="176" spans="1:16" s="14" customFormat="1" ht="93.75" customHeight="1" x14ac:dyDescent="0.25">
      <c r="A176" s="105" t="s">
        <v>29</v>
      </c>
      <c r="B176" s="98" t="s">
        <v>50</v>
      </c>
      <c r="C176" s="16" t="e">
        <f>#REF!+#REF!+#REF!+#REF!+#REF!</f>
        <v>#REF!</v>
      </c>
      <c r="D176" s="16" t="e">
        <f>#REF!+#REF!+#REF!+#REF!+#REF!</f>
        <v>#REF!</v>
      </c>
      <c r="E176" s="16" t="e">
        <f>#REF!+#REF!+#REF!+#REF!+#REF!</f>
        <v>#REF!</v>
      </c>
      <c r="F176" s="25"/>
      <c r="G176" s="25"/>
      <c r="H176" s="28"/>
      <c r="I176" s="33"/>
      <c r="J176" s="34"/>
      <c r="K176" s="33"/>
      <c r="L176" s="33"/>
      <c r="M176" s="18"/>
      <c r="N176" s="18"/>
      <c r="O176" s="18"/>
      <c r="P176" s="76" t="s">
        <v>59</v>
      </c>
    </row>
    <row r="177" spans="1:16" ht="139.5" customHeight="1" x14ac:dyDescent="0.4">
      <c r="A177" s="105" t="s">
        <v>30</v>
      </c>
      <c r="B177" s="98" t="s">
        <v>100</v>
      </c>
      <c r="C177" s="16" t="e">
        <f>SUM(C178:C182)</f>
        <v>#REF!</v>
      </c>
      <c r="D177" s="16" t="e">
        <f>SUM(D178:D182)</f>
        <v>#REF!</v>
      </c>
      <c r="E177" s="16" t="e">
        <f>SUM(E178:E182)</f>
        <v>#REF!</v>
      </c>
      <c r="F177" s="16">
        <f>SUM(F178:F182)</f>
        <v>617623.30000000005</v>
      </c>
      <c r="G177" s="16">
        <f t="shared" ref="G177:N177" si="95">SUM(G178:G182)</f>
        <v>678129.8</v>
      </c>
      <c r="H177" s="16">
        <f t="shared" si="95"/>
        <v>358043.08</v>
      </c>
      <c r="I177" s="43">
        <f>H177/G177</f>
        <v>0.53</v>
      </c>
      <c r="J177" s="16">
        <f t="shared" si="95"/>
        <v>358043.08</v>
      </c>
      <c r="K177" s="43">
        <f>J177/G177</f>
        <v>0.53</v>
      </c>
      <c r="L177" s="16">
        <f>SUM(L178:L182)</f>
        <v>678128.09</v>
      </c>
      <c r="M177" s="16">
        <f t="shared" si="95"/>
        <v>0</v>
      </c>
      <c r="N177" s="16">
        <f t="shared" si="95"/>
        <v>0</v>
      </c>
      <c r="O177" s="16">
        <f>G177-L177</f>
        <v>1.71</v>
      </c>
      <c r="P177" s="148" t="s">
        <v>102</v>
      </c>
    </row>
    <row r="178" spans="1:16" ht="48.75" customHeight="1" x14ac:dyDescent="0.4">
      <c r="A178" s="105"/>
      <c r="B178" s="95" t="s">
        <v>4</v>
      </c>
      <c r="C178" s="17" t="e">
        <f>#REF!</f>
        <v>#REF!</v>
      </c>
      <c r="D178" s="17" t="e">
        <f>#REF!</f>
        <v>#REF!</v>
      </c>
      <c r="E178" s="17" t="e">
        <f>#REF!</f>
        <v>#REF!</v>
      </c>
      <c r="F178" s="17"/>
      <c r="G178" s="17"/>
      <c r="H178" s="17"/>
      <c r="I178" s="19"/>
      <c r="J178" s="17"/>
      <c r="K178" s="19"/>
      <c r="L178" s="17"/>
      <c r="M178" s="19"/>
      <c r="N178" s="19"/>
      <c r="O178" s="16">
        <f t="shared" ref="O178" si="96">G178-J178</f>
        <v>0</v>
      </c>
      <c r="P178" s="148"/>
    </row>
    <row r="179" spans="1:16" x14ac:dyDescent="0.4">
      <c r="A179" s="105"/>
      <c r="B179" s="95" t="s">
        <v>16</v>
      </c>
      <c r="C179" s="17"/>
      <c r="D179" s="17"/>
      <c r="E179" s="17"/>
      <c r="F179" s="17">
        <v>583483.6</v>
      </c>
      <c r="G179" s="17">
        <v>640963.30000000005</v>
      </c>
      <c r="H179" s="17">
        <v>330849.15000000002</v>
      </c>
      <c r="I179" s="19">
        <f>H179/G179</f>
        <v>0.52</v>
      </c>
      <c r="J179" s="17">
        <v>330849.15000000002</v>
      </c>
      <c r="K179" s="19">
        <f>J179/G179</f>
        <v>0.52</v>
      </c>
      <c r="L179" s="17">
        <f>300872.2+340091.1</f>
        <v>640963.30000000005</v>
      </c>
      <c r="M179" s="19"/>
      <c r="N179" s="19"/>
      <c r="O179" s="17">
        <f>G179-L179</f>
        <v>0</v>
      </c>
      <c r="P179" s="148"/>
    </row>
    <row r="180" spans="1:16" x14ac:dyDescent="0.4">
      <c r="A180" s="105"/>
      <c r="B180" s="95" t="s">
        <v>11</v>
      </c>
      <c r="C180" s="17"/>
      <c r="D180" s="17"/>
      <c r="E180" s="17"/>
      <c r="F180" s="17">
        <f>34139.7-F181</f>
        <v>34136.92</v>
      </c>
      <c r="G180" s="17">
        <f>37166.5-G181</f>
        <v>37163.72</v>
      </c>
      <c r="H180" s="17">
        <f>J180</f>
        <v>27193.93</v>
      </c>
      <c r="I180" s="19">
        <f>H180/G180</f>
        <v>0.73</v>
      </c>
      <c r="J180" s="17">
        <v>27193.93</v>
      </c>
      <c r="K180" s="19">
        <f>J180/G180</f>
        <v>0.73</v>
      </c>
      <c r="L180" s="17">
        <f>19264.22+17899.5</f>
        <v>37163.72</v>
      </c>
      <c r="M180" s="19"/>
      <c r="N180" s="19"/>
      <c r="O180" s="17">
        <f>G180-L180</f>
        <v>0</v>
      </c>
      <c r="P180" s="148"/>
    </row>
    <row r="181" spans="1:16" x14ac:dyDescent="0.4">
      <c r="A181" s="105"/>
      <c r="B181" s="95" t="s">
        <v>13</v>
      </c>
      <c r="C181" s="17"/>
      <c r="D181" s="17"/>
      <c r="E181" s="17"/>
      <c r="F181" s="17">
        <v>2.78</v>
      </c>
      <c r="G181" s="17">
        <v>2.78</v>
      </c>
      <c r="H181" s="17"/>
      <c r="I181" s="19"/>
      <c r="J181" s="17"/>
      <c r="K181" s="19"/>
      <c r="L181" s="17">
        <v>1.07</v>
      </c>
      <c r="M181" s="19"/>
      <c r="N181" s="19"/>
      <c r="O181" s="39">
        <f t="shared" ref="O181" si="97">G181-L181</f>
        <v>1.71</v>
      </c>
      <c r="P181" s="148"/>
    </row>
    <row r="182" spans="1:16" x14ac:dyDescent="0.4">
      <c r="A182" s="105"/>
      <c r="B182" s="95" t="s">
        <v>5</v>
      </c>
      <c r="C182" s="17" t="e">
        <f>#REF!</f>
        <v>#REF!</v>
      </c>
      <c r="D182" s="17" t="e">
        <f>#REF!</f>
        <v>#REF!</v>
      </c>
      <c r="E182" s="17" t="e">
        <f>#REF!</f>
        <v>#REF!</v>
      </c>
      <c r="F182" s="17"/>
      <c r="G182" s="17"/>
      <c r="H182" s="17"/>
      <c r="I182" s="19"/>
      <c r="J182" s="17"/>
      <c r="K182" s="19"/>
      <c r="L182" s="17"/>
      <c r="M182" s="19"/>
      <c r="N182" s="19"/>
      <c r="O182" s="17"/>
      <c r="P182" s="148"/>
    </row>
    <row r="183" spans="1:16" s="66" customFormat="1" ht="90.75" customHeight="1" x14ac:dyDescent="0.25">
      <c r="A183" s="105" t="s">
        <v>31</v>
      </c>
      <c r="B183" s="98" t="s">
        <v>51</v>
      </c>
      <c r="C183" s="16" t="e">
        <f>#REF!+#REF!+#REF!+#REF!+#REF!</f>
        <v>#REF!</v>
      </c>
      <c r="D183" s="16" t="e">
        <f>#REF!+#REF!+#REF!+#REF!+#REF!</f>
        <v>#REF!</v>
      </c>
      <c r="E183" s="16" t="e">
        <f>#REF!+#REF!+#REF!+#REF!+#REF!</f>
        <v>#REF!</v>
      </c>
      <c r="F183" s="25"/>
      <c r="G183" s="25"/>
      <c r="H183" s="28"/>
      <c r="I183" s="33"/>
      <c r="J183" s="34"/>
      <c r="K183" s="33"/>
      <c r="L183" s="33"/>
      <c r="M183" s="18"/>
      <c r="N183" s="18"/>
      <c r="O183" s="18"/>
      <c r="P183" s="76" t="s">
        <v>59</v>
      </c>
    </row>
    <row r="184" spans="1:16" s="14" customFormat="1" ht="408.75" customHeight="1" x14ac:dyDescent="0.25">
      <c r="A184" s="105" t="s">
        <v>34</v>
      </c>
      <c r="B184" s="98" t="s">
        <v>101</v>
      </c>
      <c r="C184" s="16" t="e">
        <f>C185+C189+#REF!+#REF!+#REF!</f>
        <v>#REF!</v>
      </c>
      <c r="D184" s="16" t="e">
        <f>D185+D189+#REF!+#REF!+#REF!</f>
        <v>#REF!</v>
      </c>
      <c r="E184" s="16" t="e">
        <f>E185+E189+#REF!+#REF!+#REF!</f>
        <v>#REF!</v>
      </c>
      <c r="F184" s="16">
        <f>F185+F186+F187</f>
        <v>58377.41</v>
      </c>
      <c r="G184" s="16">
        <f t="shared" ref="G184:H184" si="98">G185+G186+G187</f>
        <v>132213.9</v>
      </c>
      <c r="H184" s="16">
        <f t="shared" si="98"/>
        <v>74563.759999999995</v>
      </c>
      <c r="I184" s="18"/>
      <c r="J184" s="16">
        <f>J185+J186+J187</f>
        <v>60147.16</v>
      </c>
      <c r="K184" s="18"/>
      <c r="L184" s="16">
        <f>L185+L186+L187</f>
        <v>131763.82</v>
      </c>
      <c r="M184" s="16">
        <f t="shared" ref="M184:N184" si="99">M185+M186+M187</f>
        <v>0</v>
      </c>
      <c r="N184" s="16">
        <f t="shared" si="99"/>
        <v>0</v>
      </c>
      <c r="O184" s="16">
        <f>O185+O186+O187</f>
        <v>450.08</v>
      </c>
      <c r="P184" s="140" t="s">
        <v>121</v>
      </c>
    </row>
    <row r="185" spans="1:16" s="49" customFormat="1" ht="34.5" customHeight="1" x14ac:dyDescent="0.25">
      <c r="A185" s="78"/>
      <c r="B185" s="95" t="s">
        <v>4</v>
      </c>
      <c r="C185" s="17" t="e">
        <f>#REF!+#REF!</f>
        <v>#REF!</v>
      </c>
      <c r="D185" s="17" t="e">
        <f>#REF!+#REF!</f>
        <v>#REF!</v>
      </c>
      <c r="E185" s="17" t="e">
        <f>#REF!+#REF!</f>
        <v>#REF!</v>
      </c>
      <c r="F185" s="17"/>
      <c r="G185" s="17"/>
      <c r="H185" s="17"/>
      <c r="I185" s="19"/>
      <c r="J185" s="17"/>
      <c r="K185" s="19"/>
      <c r="L185" s="17"/>
      <c r="M185" s="17"/>
      <c r="N185" s="17"/>
      <c r="O185" s="17">
        <f>H185-L185</f>
        <v>0</v>
      </c>
      <c r="P185" s="141"/>
    </row>
    <row r="186" spans="1:16" s="49" customFormat="1" ht="34.5" customHeight="1" x14ac:dyDescent="0.25">
      <c r="A186" s="78"/>
      <c r="B186" s="95" t="s">
        <v>16</v>
      </c>
      <c r="C186" s="17"/>
      <c r="D186" s="17"/>
      <c r="E186" s="17"/>
      <c r="F186" s="17">
        <v>57382.9</v>
      </c>
      <c r="G186" s="17">
        <v>127527.6</v>
      </c>
      <c r="H186" s="17">
        <v>72468</v>
      </c>
      <c r="I186" s="19">
        <f>H186/G186</f>
        <v>0.56999999999999995</v>
      </c>
      <c r="J186" s="17">
        <v>58051.4</v>
      </c>
      <c r="K186" s="19">
        <f>J186/G186</f>
        <v>0.46</v>
      </c>
      <c r="L186" s="17">
        <f>26909.12+6902.57+23906.4+46238.3+23571.21</f>
        <v>127527.6</v>
      </c>
      <c r="M186" s="17"/>
      <c r="N186" s="17"/>
      <c r="O186" s="17">
        <f>G186-L186</f>
        <v>0</v>
      </c>
      <c r="P186" s="141"/>
    </row>
    <row r="187" spans="1:16" s="49" customFormat="1" ht="34.5" customHeight="1" x14ac:dyDescent="0.25">
      <c r="A187" s="78"/>
      <c r="B187" s="95" t="s">
        <v>11</v>
      </c>
      <c r="C187" s="17"/>
      <c r="D187" s="17"/>
      <c r="E187" s="17"/>
      <c r="F187" s="17">
        <v>994.51</v>
      </c>
      <c r="G187" s="17">
        <v>4686.3</v>
      </c>
      <c r="H187" s="17">
        <f>J187</f>
        <v>2095.7600000000002</v>
      </c>
      <c r="I187" s="19">
        <f>H187/G187</f>
        <v>0.45</v>
      </c>
      <c r="J187" s="17">
        <v>2095.7600000000002</v>
      </c>
      <c r="K187" s="19">
        <f>J187/G187</f>
        <v>0.45</v>
      </c>
      <c r="L187" s="17">
        <f>318.65+225.78+1258.23+2433.56</f>
        <v>4236.22</v>
      </c>
      <c r="M187" s="17"/>
      <c r="N187" s="17"/>
      <c r="O187" s="17">
        <f>G187-L187</f>
        <v>450.08</v>
      </c>
      <c r="P187" s="141"/>
    </row>
    <row r="188" spans="1:16" s="49" customFormat="1" ht="34.5" customHeight="1" x14ac:dyDescent="0.25">
      <c r="A188" s="78"/>
      <c r="B188" s="95" t="s">
        <v>13</v>
      </c>
      <c r="C188" s="17"/>
      <c r="D188" s="17"/>
      <c r="E188" s="17"/>
      <c r="F188" s="17"/>
      <c r="G188" s="17"/>
      <c r="H188" s="17"/>
      <c r="I188" s="19"/>
      <c r="J188" s="17"/>
      <c r="K188" s="19"/>
      <c r="L188" s="17"/>
      <c r="M188" s="17"/>
      <c r="N188" s="17"/>
      <c r="O188" s="17">
        <f>H188-L188</f>
        <v>0</v>
      </c>
      <c r="P188" s="141"/>
    </row>
    <row r="189" spans="1:16" s="49" customFormat="1" ht="37.5" customHeight="1" x14ac:dyDescent="0.25">
      <c r="A189" s="78"/>
      <c r="B189" s="95" t="s">
        <v>5</v>
      </c>
      <c r="C189" s="17"/>
      <c r="D189" s="17"/>
      <c r="E189" s="17"/>
      <c r="F189" s="17"/>
      <c r="G189" s="17"/>
      <c r="H189" s="17"/>
      <c r="I189" s="19"/>
      <c r="J189" s="17"/>
      <c r="K189" s="19"/>
      <c r="L189" s="17"/>
      <c r="M189" s="17"/>
      <c r="N189" s="17"/>
      <c r="O189" s="17">
        <f>H189-L189</f>
        <v>0</v>
      </c>
      <c r="P189" s="142"/>
    </row>
    <row r="190" spans="1:16" s="51" customFormat="1" ht="101.25" customHeight="1" x14ac:dyDescent="0.25">
      <c r="A190" s="105" t="s">
        <v>33</v>
      </c>
      <c r="B190" s="98" t="s">
        <v>52</v>
      </c>
      <c r="C190" s="16"/>
      <c r="D190" s="16"/>
      <c r="E190" s="16"/>
      <c r="F190" s="25"/>
      <c r="G190" s="25"/>
      <c r="H190" s="25"/>
      <c r="I190" s="26"/>
      <c r="J190" s="25"/>
      <c r="K190" s="26"/>
      <c r="L190" s="26"/>
      <c r="M190" s="18"/>
      <c r="N190" s="18"/>
      <c r="O190" s="18"/>
      <c r="P190" s="76" t="s">
        <v>59</v>
      </c>
    </row>
    <row r="191" spans="1:16" s="51" customFormat="1" ht="108.75" customHeight="1" x14ac:dyDescent="0.25">
      <c r="A191" s="105" t="s">
        <v>32</v>
      </c>
      <c r="B191" s="98" t="s">
        <v>53</v>
      </c>
      <c r="C191" s="16"/>
      <c r="D191" s="16"/>
      <c r="E191" s="16"/>
      <c r="F191" s="25"/>
      <c r="G191" s="25"/>
      <c r="H191" s="25"/>
      <c r="I191" s="26"/>
      <c r="J191" s="25"/>
      <c r="K191" s="26"/>
      <c r="L191" s="26"/>
      <c r="M191" s="18"/>
      <c r="N191" s="18"/>
      <c r="O191" s="18"/>
      <c r="P191" s="76" t="s">
        <v>59</v>
      </c>
    </row>
    <row r="192" spans="1:16" s="51" customFormat="1" ht="102" customHeight="1" x14ac:dyDescent="0.25">
      <c r="A192" s="105" t="s">
        <v>57</v>
      </c>
      <c r="B192" s="98" t="s">
        <v>54</v>
      </c>
      <c r="C192" s="16" t="e">
        <f>#REF!+#REF!+#REF!+#REF!+#REF!</f>
        <v>#REF!</v>
      </c>
      <c r="D192" s="16" t="e">
        <f>#REF!+#REF!+#REF!+#REF!+#REF!</f>
        <v>#REF!</v>
      </c>
      <c r="E192" s="16" t="e">
        <f>#REF!+#REF!+#REF!+#REF!+#REF!</f>
        <v>#REF!</v>
      </c>
      <c r="F192" s="25"/>
      <c r="G192" s="25"/>
      <c r="H192" s="28"/>
      <c r="I192" s="26"/>
      <c r="J192" s="25"/>
      <c r="K192" s="26"/>
      <c r="L192" s="26"/>
      <c r="M192" s="18"/>
      <c r="N192" s="18"/>
      <c r="O192" s="18"/>
      <c r="P192" s="76" t="s">
        <v>59</v>
      </c>
    </row>
    <row r="193" spans="1:16" ht="105.75" customHeight="1" x14ac:dyDescent="0.4">
      <c r="A193" s="105" t="s">
        <v>40</v>
      </c>
      <c r="B193" s="98" t="s">
        <v>55</v>
      </c>
      <c r="C193" s="16" t="e">
        <f>#REF!+#REF!+#REF!+#REF!+#REF!</f>
        <v>#REF!</v>
      </c>
      <c r="D193" s="16" t="e">
        <f>#REF!+#REF!+#REF!+#REF!+#REF!</f>
        <v>#REF!</v>
      </c>
      <c r="E193" s="16" t="e">
        <f>#REF!+#REF!+#REF!+#REF!+#REF!</f>
        <v>#REF!</v>
      </c>
      <c r="F193" s="25"/>
      <c r="G193" s="25"/>
      <c r="H193" s="28"/>
      <c r="I193" s="26"/>
      <c r="J193" s="25"/>
      <c r="K193" s="26"/>
      <c r="L193" s="26"/>
      <c r="M193" s="18"/>
      <c r="N193" s="18"/>
      <c r="O193" s="18"/>
      <c r="P193" s="76" t="s">
        <v>59</v>
      </c>
    </row>
    <row r="194" spans="1:16" ht="130.5" customHeight="1" x14ac:dyDescent="0.4">
      <c r="A194" s="105" t="s">
        <v>41</v>
      </c>
      <c r="B194" s="98" t="s">
        <v>56</v>
      </c>
      <c r="C194" s="16" t="e">
        <f>#REF!+#REF!+#REF!+#REF!+#REF!</f>
        <v>#REF!</v>
      </c>
      <c r="D194" s="16" t="e">
        <f>#REF!+#REF!+#REF!+#REF!+#REF!</f>
        <v>#REF!</v>
      </c>
      <c r="E194" s="16" t="e">
        <f>#REF!+#REF!+#REF!+#REF!+#REF!</f>
        <v>#REF!</v>
      </c>
      <c r="F194" s="25"/>
      <c r="G194" s="25"/>
      <c r="H194" s="28"/>
      <c r="I194" s="26"/>
      <c r="J194" s="25"/>
      <c r="K194" s="26"/>
      <c r="L194" s="26"/>
      <c r="M194" s="18"/>
      <c r="N194" s="18"/>
      <c r="O194" s="18"/>
      <c r="P194" s="76" t="s">
        <v>59</v>
      </c>
    </row>
    <row r="414" spans="12:15" x14ac:dyDescent="0.4">
      <c r="L414" s="6"/>
      <c r="M414" s="6"/>
      <c r="N414" s="6"/>
      <c r="O414" s="6"/>
    </row>
    <row r="415" spans="12:15" x14ac:dyDescent="0.4">
      <c r="L415" s="6"/>
      <c r="M415" s="6"/>
      <c r="N415" s="6"/>
      <c r="O415" s="6"/>
    </row>
    <row r="416" spans="12:15" x14ac:dyDescent="0.4">
      <c r="L416" s="6"/>
      <c r="M416" s="6"/>
      <c r="N416" s="6"/>
      <c r="O416" s="6"/>
    </row>
  </sheetData>
  <autoFilter ref="A7:P401"/>
  <customSheetViews>
    <customSheetView guid="{998B8119-4FF3-4A16-838D-539C6AE34D55}" scale="40" showPageBreaks="1" outlineSymbols="0" zeroValues="0" fitToPage="1" printArea="1" showAutoFilter="1" hiddenColumns="1" view="pageBreakPreview" topLeftCell="A4">
      <pane xSplit="4" ySplit="7" topLeftCell="F11" activePane="bottomRight" state="frozen"/>
      <selection pane="bottomRight" activeCell="K21" sqref="K21:K22"/>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
      <autoFilter ref="A7:P397"/>
    </customSheetView>
    <customSheetView guid="{BEA0FDBA-BB07-4C19-8BBD-5E57EE395C09}" scale="40" showPageBreaks="1" outlineSymbols="0" zeroValues="0" fitToPage="1" printArea="1" showAutoFilter="1" hiddenColumns="1" view="pageBreakPreview" topLeftCell="A4">
      <pane xSplit="4" ySplit="7" topLeftCell="K18" activePane="bottomRight" state="frozen"/>
      <selection pane="bottomRight" activeCell="P21" sqref="P21:P27"/>
      <rowBreaks count="31" manualBreakCount="31">
        <brk id="120" max="15" man="1"/>
        <brk id="144" max="15" man="1"/>
        <brk id="165" max="15"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27" fitToHeight="0" orientation="landscape" r:id="rId2"/>
      <autoFilter ref="A7:P397"/>
    </customSheetView>
    <customSheetView guid="{D95852A1-B0FC-4AC5-B62B-5CCBE05B0D15}" scale="40" showPageBreaks="1" outlineSymbols="0" zeroValues="0" fitToPage="1" printArea="1" showAutoFilter="1" hiddenColumns="1" view="pageBreakPreview" topLeftCell="A5">
      <pane xSplit="4" ySplit="4" topLeftCell="F21" activePane="bottomRight" state="frozen"/>
      <selection pane="bottomRight" activeCell="K23" sqref="K23"/>
      <rowBreaks count="28" manualBreakCount="28">
        <brk id="30" max="15" man="1"/>
        <brk id="216" max="18" man="1"/>
        <brk id="266" max="18" man="1"/>
        <brk id="323" max="18" man="1"/>
        <brk id="394" max="18" man="1"/>
        <brk id="449" max="14" man="1"/>
        <brk id="464" max="10" man="1"/>
        <brk id="500" max="10" man="1"/>
        <brk id="540" max="10" man="1"/>
        <brk id="579" max="10" man="1"/>
        <brk id="617" max="10" man="1"/>
        <brk id="653" max="10" man="1"/>
        <brk id="690" max="10" man="1"/>
        <brk id="728" max="10" man="1"/>
        <brk id="763" max="10" man="1"/>
        <brk id="799" max="10" man="1"/>
        <brk id="839" max="10" man="1"/>
        <brk id="878" max="10" man="1"/>
        <brk id="917" max="10" man="1"/>
        <brk id="957" max="10" man="1"/>
        <brk id="995" max="10" man="1"/>
        <brk id="1030" max="10" man="1"/>
        <brk id="1060" max="10" man="1"/>
        <brk id="1097" max="10" man="1"/>
        <brk id="1134" max="10" man="1"/>
        <brk id="1169" max="10" man="1"/>
        <brk id="1211" max="10" man="1"/>
        <brk id="1265" max="10" man="1"/>
      </rowBreaks>
      <pageMargins left="0" right="0" top="0.9055118110236221" bottom="0" header="0" footer="0"/>
      <printOptions horizontalCentered="1"/>
      <pageSetup paperSize="8" scale="39" fitToHeight="0" orientation="landscape" r:id="rId3"/>
      <autoFilter ref="A7:P398"/>
    </customSheetView>
    <customSheetView guid="{67ADFAE6-A9AF-44D7-8539-93CD0F6B7849}" scale="50" showPageBreaks="1" outlineSymbols="0" zeroValues="0" fitToPage="1" printArea="1" showAutoFilter="1" hiddenColumns="1" view="pageBreakPreview" topLeftCell="A4">
      <pane xSplit="4" ySplit="7" topLeftCell="O101" activePane="bottomRight" state="frozen"/>
      <selection pane="bottomRight" activeCell="P28" sqref="P28:P34"/>
      <rowBreaks count="31" manualBreakCount="31">
        <brk id="41" max="15" man="1"/>
        <brk id="109" max="15" man="1"/>
        <brk id="146"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horizontalDpi="4294967293" r:id="rId4"/>
      <autoFilter ref="A7:P397"/>
    </customSheetView>
    <customSheetView guid="{5FB953A5-71FF-4056-AF98-C9D06FF0EDF3}" scale="46" showPageBreaks="1" outlineSymbols="0" zeroValues="0" fitToPage="1" printArea="1" showAutoFilter="1" hiddenColumns="1" view="pageBreakPreview" topLeftCell="J185">
      <selection activeCell="P92" sqref="P92:P97"/>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5"/>
      <autoFilter ref="A7:P397"/>
    </customSheetView>
    <customSheetView guid="{A0A3CD9B-2436-40D7-91DB-589A95FBBF00}" scale="40" showPageBreaks="1" outlineSymbols="0" zeroValues="0" fitToPage="1" printArea="1" showAutoFilter="1" hiddenColumns="1" view="pageBreakPreview" topLeftCell="A4">
      <pane xSplit="4" ySplit="4" topLeftCell="F8" activePane="bottomRight" state="frozen"/>
      <selection pane="bottomRight" activeCell="H11" sqref="H11"/>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39" fitToHeight="0" orientation="landscape" r:id="rId6"/>
      <autoFilter ref="A7:P39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7"/>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1"/>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2"/>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5"/>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9"/>
      <autoFilter ref="A7:P393"/>
    </customSheetView>
    <customSheetView guid="{45DE1976-7F07-4EB4-8A9C-FB72D060BEFA}" scale="40" showPageBreaks="1" outlineSymbols="0" zeroValues="0" fitToPage="1" printArea="1" showAutoFilter="1" hiddenColumns="1" view="pageBreakPreview" topLeftCell="A167">
      <selection activeCell="L177" sqref="L177"/>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39" fitToHeight="0" orientation="landscape" r:id="rId20"/>
      <autoFilter ref="A7:P397"/>
    </customSheetView>
    <customSheetView guid="{7B245AB0-C2AF-4822-BFC4-2399F85856C1}" scale="40" showPageBreaks="1" outlineSymbols="0" zeroValues="0" fitToPage="1" printArea="1" showAutoFilter="1" hiddenColumns="1" view="pageBreakPreview" topLeftCell="A4">
      <pane xSplit="4" ySplit="7" topLeftCell="F20" activePane="bottomRight" state="frozen"/>
      <selection pane="bottomRight" activeCell="H24" sqref="H2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21"/>
      <autoFilter ref="A7:P397"/>
    </customSheetView>
    <customSheetView guid="{649E5CE3-4976-49D9-83DA-4E57FFC714BF}" scale="40" showPageBreaks="1" outlineSymbols="0" zeroValues="0" fitToPage="1" printArea="1" showAutoFilter="1" hiddenColumns="1" view="pageBreakPreview" topLeftCell="F49">
      <selection activeCell="P60" sqref="P60"/>
      <rowBreaks count="30" manualBreakCount="30">
        <brk id="27" max="15" man="1"/>
        <brk id="41"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22"/>
      <autoFilter ref="A7:P397"/>
    </customSheetView>
  </customSheetViews>
  <mergeCells count="94">
    <mergeCell ref="K151:K152"/>
    <mergeCell ref="L151:L152"/>
    <mergeCell ref="P78:P83"/>
    <mergeCell ref="P84:P89"/>
    <mergeCell ref="A63:A66"/>
    <mergeCell ref="B63:B66"/>
    <mergeCell ref="F63:F66"/>
    <mergeCell ref="A151:A152"/>
    <mergeCell ref="H29:H30"/>
    <mergeCell ref="G63:G66"/>
    <mergeCell ref="H63:H66"/>
    <mergeCell ref="A15:A20"/>
    <mergeCell ref="B21:B23"/>
    <mergeCell ref="F21:F23"/>
    <mergeCell ref="G21:G23"/>
    <mergeCell ref="H21:H23"/>
    <mergeCell ref="A21:A22"/>
    <mergeCell ref="P55:P60"/>
    <mergeCell ref="I21:I23"/>
    <mergeCell ref="J21:J23"/>
    <mergeCell ref="K21:K23"/>
    <mergeCell ref="L21:L23"/>
    <mergeCell ref="M21:M23"/>
    <mergeCell ref="O29:O30"/>
    <mergeCell ref="J29:J30"/>
    <mergeCell ref="K29:K30"/>
    <mergeCell ref="L29:L30"/>
    <mergeCell ref="N21:N23"/>
    <mergeCell ref="O21:O23"/>
    <mergeCell ref="I29:I30"/>
    <mergeCell ref="B29:B30"/>
    <mergeCell ref="A29:A30"/>
    <mergeCell ref="F29:F30"/>
    <mergeCell ref="G29:G30"/>
    <mergeCell ref="A3:P3"/>
    <mergeCell ref="J6:K6"/>
    <mergeCell ref="A9:A14"/>
    <mergeCell ref="A5:A7"/>
    <mergeCell ref="H6:I6"/>
    <mergeCell ref="C5:C7"/>
    <mergeCell ref="G6:G7"/>
    <mergeCell ref="F5:G5"/>
    <mergeCell ref="E5:E7"/>
    <mergeCell ref="F6:F7"/>
    <mergeCell ref="B5:B7"/>
    <mergeCell ref="L5:L7"/>
    <mergeCell ref="O5:O7"/>
    <mergeCell ref="D5:D7"/>
    <mergeCell ref="P5:P7"/>
    <mergeCell ref="H5:K5"/>
    <mergeCell ref="P132:P137"/>
    <mergeCell ref="P15:P20"/>
    <mergeCell ref="P37:P42"/>
    <mergeCell ref="P49:P54"/>
    <mergeCell ref="P21:P28"/>
    <mergeCell ref="P29:P35"/>
    <mergeCell ref="P43:P48"/>
    <mergeCell ref="P96:P101"/>
    <mergeCell ref="P102:P107"/>
    <mergeCell ref="P114:P119"/>
    <mergeCell ref="P120:P125"/>
    <mergeCell ref="P126:P131"/>
    <mergeCell ref="A144:A150"/>
    <mergeCell ref="P144:P150"/>
    <mergeCell ref="P177:P182"/>
    <mergeCell ref="O151:O157"/>
    <mergeCell ref="B144:B145"/>
    <mergeCell ref="F144:F145"/>
    <mergeCell ref="G144:G145"/>
    <mergeCell ref="H144:H145"/>
    <mergeCell ref="I144:I145"/>
    <mergeCell ref="J144:J145"/>
    <mergeCell ref="K144:K145"/>
    <mergeCell ref="L144:L145"/>
    <mergeCell ref="F151:F152"/>
    <mergeCell ref="G151:G152"/>
    <mergeCell ref="H151:H152"/>
    <mergeCell ref="I151:I152"/>
    <mergeCell ref="O144:O145"/>
    <mergeCell ref="B151:B152"/>
    <mergeCell ref="P72:P77"/>
    <mergeCell ref="P63:P66"/>
    <mergeCell ref="P184:P189"/>
    <mergeCell ref="P151:P157"/>
    <mergeCell ref="P170:P171"/>
    <mergeCell ref="P172:P175"/>
    <mergeCell ref="I63:I66"/>
    <mergeCell ref="J63:J66"/>
    <mergeCell ref="K63:K66"/>
    <mergeCell ref="L63:L66"/>
    <mergeCell ref="M63:M66"/>
    <mergeCell ref="N63:N66"/>
    <mergeCell ref="O63:O66"/>
    <mergeCell ref="J151:J152"/>
  </mergeCells>
  <phoneticPr fontId="4" type="noConversion"/>
  <printOptions horizontalCentered="1"/>
  <pageMargins left="0" right="0" top="0.9055118110236221" bottom="0" header="0" footer="0"/>
  <pageSetup paperSize="8" scale="38" fitToHeight="9" orientation="landscape" horizontalDpi="4294967293" r:id="rId23"/>
  <rowBreaks count="2" manualBreakCount="2">
    <brk id="77" max="15" man="1"/>
    <brk id="171" max="15" man="1"/>
  </rowBreaks>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01.10.2016</vt:lpstr>
      <vt:lpstr>'на 01.10.2016'!Заголовки_для_печати</vt:lpstr>
      <vt:lpstr>'на 01.10.2016'!Область_печати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2016-10-07T04:24:33Z</cp:lastPrinted>
  <dcterms:created xsi:type="dcterms:W3CDTF">2011-12-13T05:34:09Z</dcterms:created>
  <dcterms:modified xsi:type="dcterms:W3CDTF">2016-10-28T06:47:26Z</dcterms:modified>
</cp:coreProperties>
</file>