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80" windowWidth="1980" windowHeight="1170" tabRatio="518"/>
  </bookViews>
  <sheets>
    <sheet name="на 01.09.2016" sheetId="1" r:id="rId1"/>
    <sheet name="перечень" sheetId="2" r:id="rId2"/>
    <sheet name="Лист1" sheetId="3" r:id="rId3"/>
  </sheets>
  <definedNames>
    <definedName name="_xlnm._FilterDatabase" localSheetId="0" hidden="1">'на 01.09.2016'!$A$7:$P$397</definedName>
    <definedName name="_xlnm._FilterDatabase" localSheetId="1" hidden="1">перечень!$A$3:$D$30</definedName>
    <definedName name="Z_0217F586_7BE2_4803_B88F_1646729DF76E_.wvu.FilterData" localSheetId="0" hidden="1">'на 01.09.2016'!$A$7:$P$397</definedName>
    <definedName name="Z_040F7A53_882C_426B_A971_3BA4E7F819F6_.wvu.FilterData" localSheetId="0" hidden="1">'на 01.09.2016'!$A$7:$K$139</definedName>
    <definedName name="Z_05C1E2BB_B583_44DD_A8AC_FBF87A053735_.wvu.FilterData" localSheetId="0" hidden="1">'на 01.09.2016'!$A$7:$K$139</definedName>
    <definedName name="Z_05C9DD0B_EBEE_40E7_A642_8B2CDCC810BA_.wvu.FilterData" localSheetId="0" hidden="1">'на 01.09.2016'!$A$7:$K$139</definedName>
    <definedName name="Z_0623BA59_06E0_47C4_A9E0_EFF8949456C2_.wvu.FilterData" localSheetId="0" hidden="1">'на 01.09.2016'!$A$7:$K$139</definedName>
    <definedName name="Z_0644E522_2545_474C_824A_2ED6C2798897_.wvu.FilterData" localSheetId="0" hidden="1">'на 01.09.2016'!$A$7:$P$397</definedName>
    <definedName name="Z_071188D9_4773_41E2_8227_482316F94E22_.wvu.FilterData" localSheetId="0" hidden="1">'на 01.09.2016'!$A$7:$P$397</definedName>
    <definedName name="Z_079216EF_F396_45DE_93AA_DF26C49F532F_.wvu.FilterData" localSheetId="0" hidden="1">'на 01.09.2016'!$A$7:$K$139</definedName>
    <definedName name="Z_081D092E_BCFD_434D_99DD_F262EBF81A7D_.wvu.FilterData" localSheetId="0" hidden="1">'на 01.09.2016'!$A$7:$K$139</definedName>
    <definedName name="Z_081D1E71_FAB1_490F_8347_4363E467A6B8_.wvu.FilterData" localSheetId="0" hidden="1">'на 01.09.2016'!$A$7:$P$397</definedName>
    <definedName name="Z_09EDEF91_2CA5_4F56_B67B_9D290C461670_.wvu.FilterData" localSheetId="0" hidden="1">'на 01.09.2016'!$A$7:$K$139</definedName>
    <definedName name="Z_0AC3FA68_E0C8_4657_AD81_AF6345EA501C_.wvu.FilterData" localSheetId="0" hidden="1">'на 01.09.2016'!$A$7:$K$139</definedName>
    <definedName name="Z_0B579593_C56D_4394_91C1_F024BBE56EB1_.wvu.FilterData" localSheetId="0" hidden="1">'на 01.09.2016'!$A$7:$K$139</definedName>
    <definedName name="Z_0BC55D76_817D_4871_ADFD_780685E85798_.wvu.FilterData" localSheetId="0" hidden="1">'на 01.09.2016'!$A$7:$P$397</definedName>
    <definedName name="Z_0C6B39CB_8BE2_4437_B7EF_2B863FB64A7A_.wvu.FilterData" localSheetId="0" hidden="1">'на 01.09.2016'!$A$7:$K$139</definedName>
    <definedName name="Z_0C81132D_0EFB_424B_A2C0_D694846C9416_.wvu.FilterData" localSheetId="0" hidden="1">'на 01.09.2016'!$A$7:$P$397</definedName>
    <definedName name="Z_0C8C20D3_1DCE_4FE1_95B1_F35D8D398254_.wvu.FilterData" localSheetId="0" hidden="1">'на 01.09.2016'!$A$7:$K$139</definedName>
    <definedName name="Z_0CC9441C_88E9_46D0_951D_A49C84EDA8CE_.wvu.FilterData" localSheetId="0" hidden="1">'на 01.09.2016'!$A$7:$P$397</definedName>
    <definedName name="Z_0CF3E93E_60F6_45C8_AD33_C2CE08831546_.wvu.FilterData" localSheetId="0" hidden="1">'на 01.09.2016'!$A$7:$K$139</definedName>
    <definedName name="Z_0D69C398_7947_4D78_B1FE_A2A25AB79E10_.wvu.FilterData" localSheetId="0" hidden="1">'на 01.09.2016'!$A$7:$P$397</definedName>
    <definedName name="Z_0D7F5190_D20E_42FD_AD77_53CB309C7272_.wvu.FilterData" localSheetId="0" hidden="1">'на 01.09.2016'!$A$7:$K$139</definedName>
    <definedName name="Z_0E6786D8_AC3A_48D5_9AD7_4E7485DB6D9C_.wvu.FilterData" localSheetId="0" hidden="1">'на 01.09.2016'!$A$7:$K$139</definedName>
    <definedName name="Z_105D23B5_3830_4B2C_A4D4_FBFBD3BEFB9C_.wvu.FilterData" localSheetId="0" hidden="1">'на 01.09.2016'!$A$7:$K$139</definedName>
    <definedName name="Z_113A0779_204C_451B_8401_73E507046130_.wvu.FilterData" localSheetId="0" hidden="1">'на 01.09.2016'!$A$7:$P$397</definedName>
    <definedName name="Z_12397037_6208_4B36_BC95_11438284A9DE_.wvu.FilterData" localSheetId="0" hidden="1">'на 01.09.2016'!$A$7:$K$139</definedName>
    <definedName name="Z_1315266B_953C_4E7F_B538_74B6DF400647_.wvu.FilterData" localSheetId="0" hidden="1">'на 01.09.2016'!$A$7:$K$139</definedName>
    <definedName name="Z_13E7ADA2_058C_4412_9AEA_31547694DD5C_.wvu.FilterData" localSheetId="0" hidden="1">'на 01.09.2016'!$A$7:$K$139</definedName>
    <definedName name="Z_1474826F_81A7_45CE_9E32_539008BC6006_.wvu.FilterData" localSheetId="0" hidden="1">'на 01.09.2016'!$A$7:$P$397</definedName>
    <definedName name="Z_158130B9_9537_4E7D_AC4C_ED389C9B13A6_.wvu.FilterData" localSheetId="0" hidden="1">'на 01.09.2016'!$A$7:$P$397</definedName>
    <definedName name="Z_16533C21_4A9A_450C_8A94_553B88C3A9CF_.wvu.FilterData" localSheetId="0" hidden="1">'на 01.09.2016'!$A$7:$K$139</definedName>
    <definedName name="Z_1682CF4C_6BE2_4E45_A613_382D117E51BF_.wvu.FilterData" localSheetId="0" hidden="1">'на 01.09.2016'!$A$7:$P$397</definedName>
    <definedName name="Z_168FD5D4_D13B_47B9_8E56_61C627E3620F_.wvu.FilterData" localSheetId="0" hidden="1">'на 01.09.2016'!$A$7:$K$139</definedName>
    <definedName name="Z_176FBEC7_B2AF_4702_A894_382F81F9ECF6_.wvu.FilterData" localSheetId="0" hidden="1">'на 01.09.2016'!$A$7:$K$139</definedName>
    <definedName name="Z_17AEC02B_67B1_483A_97D2_C1C6DFD21518_.wvu.FilterData" localSheetId="0" hidden="1">'на 01.09.2016'!$A$7:$P$397</definedName>
    <definedName name="Z_1902C2E4_C521_44EB_B934_0EBD6E871DD8_.wvu.FilterData" localSheetId="0" hidden="1">'на 01.09.2016'!$A$7:$P$397</definedName>
    <definedName name="Z_19510E6E_7565_4AC2_BCB4_A345501456B6_.wvu.FilterData" localSheetId="0" hidden="1">'на 01.09.2016'!$A$7:$K$139</definedName>
    <definedName name="Z_1ADD4354_436F_41C7_AFD6_B73FA2D9BC20_.wvu.FilterData" localSheetId="0" hidden="1">'на 01.09.2016'!$A$7:$P$397</definedName>
    <definedName name="Z_1B943BCB_9609_428B_963E_E25F01748D7C_.wvu.FilterData" localSheetId="0" hidden="1">'на 01.09.2016'!$A$7:$P$397</definedName>
    <definedName name="Z_1C384A54_E3F0_4C1E_862E_6CD9154B364F_.wvu.FilterData" localSheetId="0" hidden="1">'на 01.09.2016'!$A$7:$P$397</definedName>
    <definedName name="Z_1C3DF549_BEC3_47F7_8F0B_A96D42597ECF_.wvu.FilterData" localSheetId="0" hidden="1">'на 01.09.2016'!$A$7:$K$139</definedName>
    <definedName name="Z_1C681B2A_8932_44D9_BF50_EA5DBCC10436_.wvu.FilterData" localSheetId="0" hidden="1">'на 01.09.2016'!$A$7:$K$139</definedName>
    <definedName name="Z_1CEF9102_6C60_416B_8820_19DA6CA2FF8F_.wvu.FilterData" localSheetId="0" hidden="1">'на 01.09.2016'!$A$7:$P$397</definedName>
    <definedName name="Z_1D2C2901_70D8_494F_B885_AA5F7F9A1D2E_.wvu.FilterData" localSheetId="0" hidden="1">'на 01.09.2016'!$A$7:$P$397</definedName>
    <definedName name="Z_1F274A4D_4DCC_44CA_A1BD_90B7EE180486_.wvu.FilterData" localSheetId="0" hidden="1">'на 01.09.2016'!$A$7:$K$139</definedName>
    <definedName name="Z_1F6B5B08_FAE9_43CF_A27B_EE7ACD6D4DF6_.wvu.FilterData" localSheetId="0" hidden="1">'на 01.09.2016'!$A$7:$P$397</definedName>
    <definedName name="Z_1F885BC0_FA2D_45E9_BC66_C7BA68F6529B_.wvu.FilterData" localSheetId="0" hidden="1">'на 01.09.2016'!$A$7:$P$397</definedName>
    <definedName name="Z_1FF678B1_7F2B_4362_81E7_D3C79ED64B95_.wvu.FilterData" localSheetId="0" hidden="1">'на 01.09.2016'!$A$7:$K$139</definedName>
    <definedName name="Z_216AEA56_C079_4104_83C7_B22F3C2C4895_.wvu.FilterData" localSheetId="0" hidden="1">'на 01.09.2016'!$A$7:$K$139</definedName>
    <definedName name="Z_2181C7D4_AA52_40AC_A808_5D532F9A4DB9_.wvu.FilterData" localSheetId="0" hidden="1">'на 01.09.2016'!$A$7:$K$139</definedName>
    <definedName name="Z_222CB208_6EE7_4ACF_9056_A80606B8DEAE_.wvu.FilterData" localSheetId="0" hidden="1">'на 01.09.2016'!$A$7:$P$397</definedName>
    <definedName name="Z_22A3361C_6866_4206_B8FA_E848438D95B8_.wvu.FilterData" localSheetId="0" hidden="1">'на 01.09.2016'!$A$7:$K$139</definedName>
    <definedName name="Z_24D1D1DF_90B3_41D1_82E1_05DE887CC58D_.wvu.FilterData" localSheetId="0" hidden="1">'на 01.09.2016'!$A$7:$K$139</definedName>
    <definedName name="Z_24E5C1BC_322C_4FEF_B964_F0DCC04482C1_.wvu.Cols" localSheetId="0" hidden="1">'на 01.09.2016'!#REF!,'на 01.09.2016'!#REF!</definedName>
    <definedName name="Z_24E5C1BC_322C_4FEF_B964_F0DCC04482C1_.wvu.FilterData" localSheetId="0" hidden="1">'на 01.09.2016'!$A$7:$K$139</definedName>
    <definedName name="Z_24E5C1BC_322C_4FEF_B964_F0DCC04482C1_.wvu.Rows" localSheetId="0" hidden="1">'на 01.09.2016'!#REF!</definedName>
    <definedName name="Z_26E7CD7D_71FD_4075_B268_E6444384CE7D_.wvu.FilterData" localSheetId="0" hidden="1">'на 01.09.2016'!$A$7:$K$139</definedName>
    <definedName name="Z_2751B79E_F60F_449F_9B1A_ED01F0EE4A3F_.wvu.FilterData" localSheetId="0" hidden="1">'на 01.09.2016'!$A$7:$P$397</definedName>
    <definedName name="Z_28008BE5_0693_468D_890E_2AE562EDDFCA_.wvu.FilterData" localSheetId="0" hidden="1">'на 01.09.2016'!$A$7:$K$139</definedName>
    <definedName name="Z_2B4EF399_1F78_4650_9196_70339D27DB54_.wvu.FilterData" localSheetId="0" hidden="1">'на 01.09.2016'!$A$7:$P$397</definedName>
    <definedName name="Z_2B67E997_66AF_4883_9EE5_9876648FDDE9_.wvu.FilterData" localSheetId="0" hidden="1">'на 01.09.2016'!$A$7:$P$397</definedName>
    <definedName name="Z_2C029299_5EEC_4151_A9E2_241D31E08692_.wvu.FilterData" localSheetId="0" hidden="1">'на 01.09.2016'!$A$7:$P$397</definedName>
    <definedName name="Z_2C47EAD7_6B0B_40AB_9599_0BF3302E35F1_.wvu.FilterData" localSheetId="0" hidden="1">'на 01.09.2016'!$A$7:$K$139</definedName>
    <definedName name="Z_2CD18B03_71F5_4B8A_8C6C_592F5A66335B_.wvu.FilterData" localSheetId="0" hidden="1">'на 01.09.2016'!$A$7:$P$397</definedName>
    <definedName name="Z_2D011736_53B8_48A8_8C2E_71DD995F6546_.wvu.FilterData" localSheetId="0" hidden="1">'на 01.09.2016'!$A$7:$P$397</definedName>
    <definedName name="Z_2D540280_F40F_4530_A32A_1FF2E78E7147_.wvu.FilterData" localSheetId="0" hidden="1">'на 01.09.2016'!$A$7:$P$397</definedName>
    <definedName name="Z_2D918A37_6905_4BEF_BC3A_DA45E968DAC3_.wvu.FilterData" localSheetId="0" hidden="1">'на 01.09.2016'!$A$7:$K$139</definedName>
    <definedName name="Z_2DF88C31_E5A0_4DFE_877D_5A31D3992603_.wvu.Rows" localSheetId="0" hidden="1">'на 01.09.2016'!#REF!,'на 01.09.2016'!#REF!,'на 01.09.2016'!#REF!,'на 01.09.2016'!#REF!,'на 01.09.2016'!#REF!,'на 01.09.2016'!#REF!,'на 01.09.2016'!#REF!,'на 01.09.2016'!#REF!,'на 01.09.2016'!#REF!,'на 01.09.2016'!#REF!,'на 01.09.2016'!#REF!</definedName>
    <definedName name="Z_2F3BAFC5_8792_4BC0_833F_5CB9ACB14A14_.wvu.FilterData" localSheetId="0" hidden="1">'на 01.09.2016'!$A$7:$K$139</definedName>
    <definedName name="Z_2F7AC811_CA37_46E3_866E_6E10DF43054A_.wvu.FilterData" localSheetId="0" hidden="1">'на 01.09.2016'!$A$7:$P$397</definedName>
    <definedName name="Z_2F7AC811_CA37_46E3_866E_6E10DF43054A_.wvu.FilterData" localSheetId="1" hidden="1">перечень!$A$3:$D$30</definedName>
    <definedName name="Z_2F7AC811_CA37_46E3_866E_6E10DF43054A_.wvu.PrintArea" localSheetId="1" hidden="1">перечень!$A$1:$J$34</definedName>
    <definedName name="Z_2F7AC811_CA37_46E3_866E_6E10DF43054A_.wvu.PrintTitles" localSheetId="1" hidden="1">перечень!$3:$3</definedName>
    <definedName name="Z_300D3722_BC5B_4EFC_A306_CB3461E96075_.wvu.FilterData" localSheetId="0" hidden="1">'на 01.09.2016'!$A$7:$P$397</definedName>
    <definedName name="Z_30F94082_E7C8_4DE7_AE26_19B3A4317363_.wvu.FilterData" localSheetId="0" hidden="1">'на 01.09.2016'!$A$7:$P$397</definedName>
    <definedName name="Z_315B3829_E75D_48BB_A407_88A96C0D6A4B_.wvu.FilterData" localSheetId="0" hidden="1">'на 01.09.2016'!$A$7:$P$397</definedName>
    <definedName name="Z_31985263_3556_4B71_A26F_62706F49B320_.wvu.FilterData" localSheetId="0" hidden="1">'на 01.09.2016'!$A$7:$K$139</definedName>
    <definedName name="Z_31EABA3C_DD8D_46BF_85B1_09527EF8E816_.wvu.FilterData" localSheetId="0" hidden="1">'на 01.09.2016'!$A$7:$K$139</definedName>
    <definedName name="Z_328B1FBD_B9E0_4F8C_AA1F_438ED0F19823_.wvu.FilterData" localSheetId="0" hidden="1">'на 01.09.2016'!$A$7:$P$397</definedName>
    <definedName name="Z_33081AFE_875F_4448_8DBB_C2288E582829_.wvu.FilterData" localSheetId="0" hidden="1">'на 01.09.2016'!$A$7:$P$397</definedName>
    <definedName name="Z_34587A22_A707_48EC_A6D8_8CA0D443CB5A_.wvu.FilterData" localSheetId="0" hidden="1">'на 01.09.2016'!$A$7:$P$397</definedName>
    <definedName name="Z_34E97F8E_B808_4C29_AFA8_24160BA8B576_.wvu.FilterData" localSheetId="0" hidden="1">'на 01.09.2016'!$A$7:$K$139</definedName>
    <definedName name="Z_3597F15D_13FB_47E4_B2D7_0713796F1B32_.wvu.FilterData" localSheetId="0" hidden="1">'на 01.09.2016'!$A$7:$K$139</definedName>
    <definedName name="Z_36279478_DEDD_46A7_8B6D_9500CB65A35C_.wvu.FilterData" localSheetId="0" hidden="1">'на 01.09.2016'!$A$7:$K$139</definedName>
    <definedName name="Z_36282042_958F_4D98_9515_9E9271F26AA2_.wvu.FilterData" localSheetId="0" hidden="1">'на 01.09.2016'!$A$7:$K$139</definedName>
    <definedName name="Z_36AEB3FF_FCBC_4E21_8EFE_F20781816ED3_.wvu.FilterData" localSheetId="0" hidden="1">'на 01.09.2016'!$A$7:$K$139</definedName>
    <definedName name="Z_371CA4AD_891B_4B1D_9403_45AB26546607_.wvu.FilterData" localSheetId="0" hidden="1">'на 01.09.2016'!$A$7:$P$397</definedName>
    <definedName name="Z_37F8CE32_8CE8_4D95_9C0E_63112E6EFFE9_.wvu.Cols" localSheetId="0" hidden="1">'на 01.09.2016'!#REF!</definedName>
    <definedName name="Z_37F8CE32_8CE8_4D95_9C0E_63112E6EFFE9_.wvu.FilterData" localSheetId="0" hidden="1">'на 01.09.2016'!$A$7:$K$139</definedName>
    <definedName name="Z_37F8CE32_8CE8_4D95_9C0E_63112E6EFFE9_.wvu.PrintArea" localSheetId="0" hidden="1">'на 01.09.2016'!$A$1:$P$139</definedName>
    <definedName name="Z_37F8CE32_8CE8_4D95_9C0E_63112E6EFFE9_.wvu.PrintTitles" localSheetId="0" hidden="1">'на 01.09.2016'!$5:$8</definedName>
    <definedName name="Z_37F8CE32_8CE8_4D95_9C0E_63112E6EFFE9_.wvu.Rows" localSheetId="0" hidden="1">'на 01.09.2016'!#REF!,'на 01.09.2016'!#REF!,'на 01.09.2016'!#REF!,'на 01.09.2016'!#REF!,'на 01.09.2016'!#REF!,'на 01.09.2016'!#REF!,'на 01.09.2016'!#REF!,'на 01.09.2016'!#REF!,'на 01.09.2016'!#REF!,'на 01.09.2016'!#REF!,'на 01.09.2016'!#REF!,'на 01.09.2016'!#REF!,'на 01.09.2016'!#REF!,'на 01.09.2016'!#REF!,'на 01.09.2016'!#REF!,'на 01.09.2016'!#REF!,'на 01.09.2016'!#REF!</definedName>
    <definedName name="Z_39897EE2_53F6_432A_9A7F_7DBB2FBB08E4_.wvu.FilterData" localSheetId="0" hidden="1">'на 01.09.2016'!$A$7:$P$397</definedName>
    <definedName name="Z_3A3DB971_386F_40FA_8DD4_4A74AFE3B4C9_.wvu.FilterData" localSheetId="0" hidden="1">'на 01.09.2016'!$A$7:$P$397</definedName>
    <definedName name="Z_3AAEA08B_779A_471D_BFA0_0D98BF9A4FAD_.wvu.FilterData" localSheetId="0" hidden="1">'на 01.09.2016'!$A$7:$K$139</definedName>
    <definedName name="Z_3C9F72CF_10C2_48CF_BBB6_A2B9A1393F37_.wvu.FilterData" localSheetId="0" hidden="1">'на 01.09.2016'!$A$7:$K$139</definedName>
    <definedName name="Z_3CBCA6B7_5D7C_44A4_844A_26E2A61FDE86_.wvu.FilterData" localSheetId="0" hidden="1">'на 01.09.2016'!$A$7:$P$397</definedName>
    <definedName name="Z_3D1280C8_646B_4BB2_862F_8A8207220C6A_.wvu.FilterData" localSheetId="0" hidden="1">'на 01.09.2016'!$A$7:$K$139</definedName>
    <definedName name="Z_3D5A28D4_CB7B_405C_9FFF_EB22C14AB77F_.wvu.FilterData" localSheetId="0" hidden="1">'на 01.09.2016'!$A$7:$P$397</definedName>
    <definedName name="Z_3DB4F6FC_CE58_4083_A6ED_88DCB901BB99_.wvu.FilterData" localSheetId="0" hidden="1">'на 01.09.2016'!$A$7:$K$139</definedName>
    <definedName name="Z_3E14FD86_95B1_4D0E_A8F6_A4FFDE0E3FF0_.wvu.FilterData" localSheetId="0" hidden="1">'на 01.09.2016'!$A$7:$P$397</definedName>
    <definedName name="Z_3F839701_87D5_496C_AD9C_2B5AE5742513_.wvu.FilterData" localSheetId="0" hidden="1">'на 01.09.2016'!$A$7:$P$397</definedName>
    <definedName name="Z_3FE8ACF3_2097_4BA9_8230_2DBD30F09632_.wvu.FilterData" localSheetId="0" hidden="1">'на 01.09.2016'!$A$7:$P$397</definedName>
    <definedName name="Z_3FEDCFF8_5450_469D_9A9E_38AB8819A083_.wvu.FilterData" localSheetId="0" hidden="1">'на 01.09.2016'!$A$7:$P$397</definedName>
    <definedName name="Z_402DFE3F_A5E1_41E8_BB4F_E3062FAE22D8_.wvu.FilterData" localSheetId="0" hidden="1">'на 01.09.2016'!$A$7:$P$397</definedName>
    <definedName name="Z_403313B7_B74E_4D03_8AB9_B2A52A5BA330_.wvu.FilterData" localSheetId="0" hidden="1">'на 01.09.2016'!$A$7:$K$139</definedName>
    <definedName name="Z_4055661A_C391_44E3_B71B_DF824D593415_.wvu.FilterData" localSheetId="0" hidden="1">'на 01.09.2016'!$A$7:$K$139</definedName>
    <definedName name="Z_415B8653_FE9C_472E_85AE_9CFA9B00FD5E_.wvu.FilterData" localSheetId="0" hidden="1">'на 01.09.2016'!$A$7:$K$139</definedName>
    <definedName name="Z_41C6EAF5_F389_4A73_A5DF_3E2ABACB9DC1_.wvu.FilterData" localSheetId="0" hidden="1">'на 01.09.2016'!$A$7:$P$397</definedName>
    <definedName name="Z_4388DD05_A74C_4C1C_A344_6EEDB2F4B1B0_.wvu.FilterData" localSheetId="0" hidden="1">'на 01.09.2016'!$A$7:$K$139</definedName>
    <definedName name="Z_445590C0_7350_4A17_AB85_F8DCF9494ECC_.wvu.FilterData" localSheetId="0" hidden="1">'на 01.09.2016'!$A$7:$K$139</definedName>
    <definedName name="Z_45D27932_FD3D_46DE_B431_4E5606457D7F_.wvu.FilterData" localSheetId="0" hidden="1">'на 01.09.2016'!$A$7:$K$139</definedName>
    <definedName name="Z_45DE1976_7F07_4EB4_8A9C_FB72D060BEFA_.wvu.Cols" localSheetId="2" hidden="1">Лист1!$C:$E,Лист1!$M:$N</definedName>
    <definedName name="Z_45DE1976_7F07_4EB4_8A9C_FB72D060BEFA_.wvu.Cols" localSheetId="0" hidden="1">'на 01.09.2016'!$C:$E,'на 01.09.2016'!$M:$N</definedName>
    <definedName name="Z_45DE1976_7F07_4EB4_8A9C_FB72D060BEFA_.wvu.FilterData" localSheetId="0" hidden="1">'на 01.09.2016'!$A$7:$P$397</definedName>
    <definedName name="Z_45DE1976_7F07_4EB4_8A9C_FB72D060BEFA_.wvu.FilterData" localSheetId="1" hidden="1">перечень!$A$3:$D$30</definedName>
    <definedName name="Z_45DE1976_7F07_4EB4_8A9C_FB72D060BEFA_.wvu.PrintArea" localSheetId="0" hidden="1">'на 01.09.2016'!$A$1:$P$190</definedName>
    <definedName name="Z_45DE1976_7F07_4EB4_8A9C_FB72D060BEFA_.wvu.PrintArea" localSheetId="1" hidden="1">перечень!$A$1:$J$34</definedName>
    <definedName name="Z_45DE1976_7F07_4EB4_8A9C_FB72D060BEFA_.wvu.PrintTitles" localSheetId="0" hidden="1">'на 01.09.2016'!$5:$8</definedName>
    <definedName name="Z_45DE1976_7F07_4EB4_8A9C_FB72D060BEFA_.wvu.PrintTitles" localSheetId="1" hidden="1">перечень!$3:$3</definedName>
    <definedName name="Z_47DE35B6_B347_4C65_8E49_C2008CA773EB_.wvu.FilterData" localSheetId="0" hidden="1">'на 01.09.2016'!$A$7:$K$139</definedName>
    <definedName name="Z_486156AC_4370_4C02_BA8A_CB9B49D1A8EC_.wvu.FilterData" localSheetId="0" hidden="1">'на 01.09.2016'!$A$7:$P$397</definedName>
    <definedName name="Z_4AF0FF7E_D940_4246_AB71_AC8FEDA2EF24_.wvu.FilterData" localSheetId="0" hidden="1">'на 01.09.2016'!$A$7:$P$397</definedName>
    <definedName name="Z_4BB7905C_0E11_42F1_848D_90186131796A_.wvu.FilterData" localSheetId="0" hidden="1">'на 01.09.2016'!$A$7:$K$139</definedName>
    <definedName name="Z_4C1FE39D_945F_4F14_94DF_F69B283DCD9F_.wvu.FilterData" localSheetId="0" hidden="1">'на 01.09.2016'!$A$7:$K$139</definedName>
    <definedName name="Z_4CEB490B_58FB_4CA0_AAF2_63178FECD849_.wvu.FilterData" localSheetId="0" hidden="1">'на 01.09.2016'!$A$7:$P$397</definedName>
    <definedName name="Z_4EB9A2EB_6EC6_4AFE_AFFA_537868B4F130_.wvu.FilterData" localSheetId="0" hidden="1">'на 01.09.2016'!$A$7:$P$397</definedName>
    <definedName name="Z_4FA4A69A_6589_44A8_8710_9041295BCBA3_.wvu.FilterData" localSheetId="0" hidden="1">'на 01.09.2016'!$A$7:$P$397</definedName>
    <definedName name="Z_5039ACE2_215B_49F3_AC23_F5E171EB2E04_.wvu.FilterData" localSheetId="0" hidden="1">'на 01.09.2016'!$A$7:$P$397</definedName>
    <definedName name="Z_52C40832_4D48_45A4_B802_95C62DCB5A61_.wvu.FilterData" localSheetId="0" hidden="1">'на 01.09.2016'!$A$7:$K$139</definedName>
    <definedName name="Z_539CB3DF_9B66_4BE7_9074_8CE0405EB8A6_.wvu.Cols" localSheetId="2" hidden="1">Лист1!$C:$E,Лист1!$M:$N</definedName>
    <definedName name="Z_539CB3DF_9B66_4BE7_9074_8CE0405EB8A6_.wvu.Cols" localSheetId="0" hidden="1">'на 01.09.2016'!$C:$E,'на 01.09.2016'!$M:$N</definedName>
    <definedName name="Z_539CB3DF_9B66_4BE7_9074_8CE0405EB8A6_.wvu.FilterData" localSheetId="0" hidden="1">'на 01.09.2016'!$A$7:$P$397</definedName>
    <definedName name="Z_539CB3DF_9B66_4BE7_9074_8CE0405EB8A6_.wvu.FilterData" localSheetId="1" hidden="1">перечень!$A$3:$D$30</definedName>
    <definedName name="Z_539CB3DF_9B66_4BE7_9074_8CE0405EB8A6_.wvu.PrintArea" localSheetId="0" hidden="1">'на 01.09.2016'!$A$1:$P$190</definedName>
    <definedName name="Z_539CB3DF_9B66_4BE7_9074_8CE0405EB8A6_.wvu.PrintArea" localSheetId="1" hidden="1">перечень!$A$1:$J$34</definedName>
    <definedName name="Z_539CB3DF_9B66_4BE7_9074_8CE0405EB8A6_.wvu.PrintTitles" localSheetId="0" hidden="1">'на 01.09.2016'!$5:$8</definedName>
    <definedName name="Z_539CB3DF_9B66_4BE7_9074_8CE0405EB8A6_.wvu.PrintTitles" localSheetId="1" hidden="1">перечень!$3:$3</definedName>
    <definedName name="Z_55266A36_B6A9_42E1_8467_17D14F12BABD_.wvu.FilterData" localSheetId="0" hidden="1">'на 01.09.2016'!$A$7:$K$139</definedName>
    <definedName name="Z_565A1A16_6A4F_4794_B3C1_1808DC7E86C0_.wvu.FilterData" localSheetId="0" hidden="1">'на 01.09.2016'!$A$7:$K$139</definedName>
    <definedName name="Z_568C3823_FEE7_49C8_B4CF_3D48541DA65C_.wvu.FilterData" localSheetId="0" hidden="1">'на 01.09.2016'!$A$7:$K$139</definedName>
    <definedName name="Z_5696C387_34DF_4BED_BB60_2D85436D9DA8_.wvu.FilterData" localSheetId="0" hidden="1">'на 01.09.2016'!$A$7:$P$397</definedName>
    <definedName name="Z_56C18D87_C587_43F7_9147_D7827AADF66D_.wvu.FilterData" localSheetId="0" hidden="1">'на 01.09.2016'!$A$7:$K$139</definedName>
    <definedName name="Z_5729DC83_8713_4B21_9D2C_8A74D021747E_.wvu.FilterData" localSheetId="0" hidden="1">'на 01.09.2016'!$A$7:$K$139</definedName>
    <definedName name="Z_5730431A_42FA_4886_8F76_DA9C1179F65B_.wvu.FilterData" localSheetId="0" hidden="1">'на 01.09.2016'!$A$7:$P$397</definedName>
    <definedName name="Z_58270B81_2C5A_44D4_84D8_B29B6BA03243_.wvu.FilterData" localSheetId="0" hidden="1">'на 01.09.2016'!$A$7:$K$139</definedName>
    <definedName name="Z_58EAD7A7_C312_4E53_9D90_6DB268F00AAE_.wvu.FilterData" localSheetId="0" hidden="1">'на 01.09.2016'!$A$7:$P$397</definedName>
    <definedName name="Z_59074C03_1A19_4344_8FE1_916D5A98CD29_.wvu.FilterData" localSheetId="0" hidden="1">'на 01.09.2016'!$A$7:$P$397</definedName>
    <definedName name="Z_59F91900_CAE9_4608_97BE_FBC0993C389F_.wvu.FilterData" localSheetId="0" hidden="1">'на 01.09.2016'!$A$7:$K$139</definedName>
    <definedName name="Z_5AC843E8_BE7D_4B69_82E5_622B40389D76_.wvu.FilterData" localSheetId="0" hidden="1">'на 01.09.2016'!$A$7:$P$397</definedName>
    <definedName name="Z_5B201F9D_0EC3_499C_A33C_1C4C3BFDAC63_.wvu.FilterData" localSheetId="0" hidden="1">'на 01.09.2016'!$A$7:$P$397</definedName>
    <definedName name="Z_5B8F35C7_BACE_46B7_A289_D37993E37EE6_.wvu.FilterData" localSheetId="0" hidden="1">'на 01.09.2016'!$A$7:$P$397</definedName>
    <definedName name="Z_5C13A1A0_C535_4639_90BE_9B5D72B8AEDB_.wvu.FilterData" localSheetId="0" hidden="1">'на 01.09.2016'!$A$7:$K$139</definedName>
    <definedName name="Z_5C519772_2A20_4B5B_841B_37C4DE3DF25F_.wvu.FilterData" localSheetId="0" hidden="1">'на 01.09.2016'!$A$7:$P$397</definedName>
    <definedName name="Z_5CDE7466_9008_4EE8_8F19_E26D937B15F6_.wvu.FilterData" localSheetId="0" hidden="1">'на 01.09.2016'!$A$7:$K$139</definedName>
    <definedName name="Z_5EB104F4_627D_44E7_960F_6C67063C7D09_.wvu.FilterData" localSheetId="0" hidden="1">'на 01.09.2016'!$A$7:$P$397</definedName>
    <definedName name="Z_5FB953A5_71FF_4056_AF98_C9D06FF0EDF3_.wvu.Cols" localSheetId="2" hidden="1">Лист1!$C:$E,Лист1!$M:$N</definedName>
    <definedName name="Z_5FB953A5_71FF_4056_AF98_C9D06FF0EDF3_.wvu.Cols" localSheetId="0" hidden="1">'на 01.09.2016'!$C:$E,'на 01.09.2016'!$M:$N</definedName>
    <definedName name="Z_5FB953A5_71FF_4056_AF98_C9D06FF0EDF3_.wvu.FilterData" localSheetId="0" hidden="1">'на 01.09.2016'!$A$7:$P$397</definedName>
    <definedName name="Z_5FB953A5_71FF_4056_AF98_C9D06FF0EDF3_.wvu.FilterData" localSheetId="1" hidden="1">перечень!$A$3:$D$30</definedName>
    <definedName name="Z_5FB953A5_71FF_4056_AF98_C9D06FF0EDF3_.wvu.PrintArea" localSheetId="0" hidden="1">'на 01.09.2016'!$A$1:$P$190</definedName>
    <definedName name="Z_5FB953A5_71FF_4056_AF98_C9D06FF0EDF3_.wvu.PrintArea" localSheetId="1" hidden="1">перечень!$A$1:$J$34</definedName>
    <definedName name="Z_5FB953A5_71FF_4056_AF98_C9D06FF0EDF3_.wvu.PrintTitles" localSheetId="0" hidden="1">'на 01.09.2016'!$5:$8</definedName>
    <definedName name="Z_5FB953A5_71FF_4056_AF98_C9D06FF0EDF3_.wvu.PrintTitles" localSheetId="1" hidden="1">перечень!$3:$3</definedName>
    <definedName name="Z_60155C64_695E_458C_BBFE_B89C53118803_.wvu.FilterData" localSheetId="0" hidden="1">'на 01.09.2016'!$A$7:$P$397</definedName>
    <definedName name="Z_60657231_C99E_4191_A90E_C546FB588843_.wvu.FilterData" localSheetId="0" hidden="1">'на 01.09.2016'!$A$7:$K$139</definedName>
    <definedName name="Z_60B33E92_3815_4061_91AA_8E38B8895054_.wvu.FilterData" localSheetId="0" hidden="1">'на 01.09.2016'!$A$7:$K$139</definedName>
    <definedName name="Z_61D3C2BE_E5C3_4670_8A8C_5EA015D7BE13_.wvu.FilterData" localSheetId="0" hidden="1">'на 01.09.2016'!$A$7:$P$397</definedName>
    <definedName name="Z_6246324E_D224_4FAC_8C67_F9370E7D77EB_.wvu.FilterData" localSheetId="0" hidden="1">'на 01.09.2016'!$A$7:$P$397</definedName>
    <definedName name="Z_62534477_13C5_437C_87A9_3525FC60CE4D_.wvu.FilterData" localSheetId="0" hidden="1">'на 01.09.2016'!$A$7:$P$397</definedName>
    <definedName name="Z_62691467_BD46_47AE_A6DF_52CBD0D9817B_.wvu.FilterData" localSheetId="0" hidden="1">'на 01.09.2016'!$A$7:$K$139</definedName>
    <definedName name="Z_62C4D5B7_88F6_4885_99F7_CBFA0AACC2D9_.wvu.FilterData" localSheetId="0" hidden="1">'на 01.09.2016'!$A$7:$P$397</definedName>
    <definedName name="Z_62F2B5AA_C3D1_4669_A4A0_184285923B8F_.wvu.FilterData" localSheetId="0" hidden="1">'на 01.09.2016'!$A$7:$P$397</definedName>
    <definedName name="Z_63720CAA_47FE_4977_B082_29E1534276C7_.wvu.FilterData" localSheetId="0" hidden="1">'на 01.09.2016'!$A$7:$P$397</definedName>
    <definedName name="Z_638AAAE8_8FF2_44D0_A160_BB2A9AEB5B72_.wvu.FilterData" localSheetId="0" hidden="1">'на 01.09.2016'!$A$7:$K$139</definedName>
    <definedName name="Z_63D45DC6_0D62_438A_9069_0A4378090381_.wvu.FilterData" localSheetId="0" hidden="1">'на 01.09.2016'!$A$7:$K$139</definedName>
    <definedName name="Z_648AB040_BD0E_49A1_BA40_87D3D9C0BA55_.wvu.FilterData" localSheetId="0" hidden="1">'на 01.09.2016'!$A$7:$P$397</definedName>
    <definedName name="Z_649E5CE3_4976_49D9_83DA_4E57FFC714BF_.wvu.Cols" localSheetId="2" hidden="1">Лист1!$C:$E,Лист1!$M:$N</definedName>
    <definedName name="Z_649E5CE3_4976_49D9_83DA_4E57FFC714BF_.wvu.Cols" localSheetId="0" hidden="1">'на 01.09.2016'!$C:$E,'на 01.09.2016'!$M:$N</definedName>
    <definedName name="Z_649E5CE3_4976_49D9_83DA_4E57FFC714BF_.wvu.FilterData" localSheetId="0" hidden="1">'на 01.09.2016'!$A$7:$P$397</definedName>
    <definedName name="Z_649E5CE3_4976_49D9_83DA_4E57FFC714BF_.wvu.FilterData" localSheetId="1" hidden="1">перечень!$A$3:$D$30</definedName>
    <definedName name="Z_649E5CE3_4976_49D9_83DA_4E57FFC714BF_.wvu.PrintArea" localSheetId="0" hidden="1">'на 01.09.2016'!$A$1:$P$196</definedName>
    <definedName name="Z_649E5CE3_4976_49D9_83DA_4E57FFC714BF_.wvu.PrintArea" localSheetId="1" hidden="1">перечень!$A$1:$J$34</definedName>
    <definedName name="Z_649E5CE3_4976_49D9_83DA_4E57FFC714BF_.wvu.PrintTitles" localSheetId="0" hidden="1">'на 01.09.2016'!$5:$8</definedName>
    <definedName name="Z_649E5CE3_4976_49D9_83DA_4E57FFC714BF_.wvu.PrintTitles" localSheetId="1" hidden="1">перечень!$3:$3</definedName>
    <definedName name="Z_64C01F03_E840_4B6E_960F_5E13E0981676_.wvu.FilterData" localSheetId="0" hidden="1">'на 01.09.2016'!$A$7:$P$397</definedName>
    <definedName name="Z_66550ABE_0FE4_4071_B1FA_6163FA599414_.wvu.FilterData" localSheetId="0" hidden="1">'на 01.09.2016'!$A$7:$P$397</definedName>
    <definedName name="Z_6656F77C_55F8_4E1C_A222_2E884838D2F2_.wvu.FilterData" localSheetId="0" hidden="1">'на 01.09.2016'!$A$7:$P$397</definedName>
    <definedName name="Z_67ADFAE6_A9AF_44D7_8539_93CD0F6B7849_.wvu.Cols" localSheetId="2" hidden="1">Лист1!$C:$E,Лист1!$M:$N</definedName>
    <definedName name="Z_67ADFAE6_A9AF_44D7_8539_93CD0F6B7849_.wvu.Cols" localSheetId="0" hidden="1">'на 01.09.2016'!$C:$E,'на 01.09.2016'!$M:$N</definedName>
    <definedName name="Z_67ADFAE6_A9AF_44D7_8539_93CD0F6B7849_.wvu.FilterData" localSheetId="0" hidden="1">'на 01.09.2016'!$A$7:$P$397</definedName>
    <definedName name="Z_67ADFAE6_A9AF_44D7_8539_93CD0F6B7849_.wvu.FilterData" localSheetId="1" hidden="1">перечень!$A$3:$D$30</definedName>
    <definedName name="Z_67ADFAE6_A9AF_44D7_8539_93CD0F6B7849_.wvu.PrintArea" localSheetId="0" hidden="1">'на 01.09.2016'!$A$1:$P$199</definedName>
    <definedName name="Z_67ADFAE6_A9AF_44D7_8539_93CD0F6B7849_.wvu.PrintArea" localSheetId="1" hidden="1">перечень!$A$1:$J$34</definedName>
    <definedName name="Z_67ADFAE6_A9AF_44D7_8539_93CD0F6B7849_.wvu.PrintTitles" localSheetId="0" hidden="1">'на 01.09.2016'!$5:$8</definedName>
    <definedName name="Z_67ADFAE6_A9AF_44D7_8539_93CD0F6B7849_.wvu.PrintTitles" localSheetId="1" hidden="1">перечень!$3:$3</definedName>
    <definedName name="Z_69321B6F_CF2A_4DAB_82CF_8CAAD629F257_.wvu.FilterData" localSheetId="0" hidden="1">'на 01.09.2016'!$A$7:$P$397</definedName>
    <definedName name="Z_6BE4E62B_4F97_4F96_9638_8ADCE8F932B1_.wvu.FilterData" localSheetId="0" hidden="1">'на 01.09.2016'!$A$7:$K$139</definedName>
    <definedName name="Z_6BE735CC_AF2E_4F67_B22D_A8AB001D3353_.wvu.FilterData" localSheetId="0" hidden="1">'на 01.09.2016'!$A$7:$K$139</definedName>
    <definedName name="Z_6CF84B0C_144A_4CF4_A34E_B9147B738037_.wvu.FilterData" localSheetId="0" hidden="1">'на 01.09.2016'!$A$7:$K$139</definedName>
    <definedName name="Z_6D692D1F_2186_4B62_878B_AABF13F25116_.wvu.FilterData" localSheetId="0" hidden="1">'на 01.09.2016'!$A$7:$P$397</definedName>
    <definedName name="Z_6E1926CF_4906_4A55_811C_617ED8BB98BA_.wvu.FilterData" localSheetId="0" hidden="1">'на 01.09.2016'!$A$7:$P$397</definedName>
    <definedName name="Z_6E2D6686_B9FD_4BBA_8CD4_95C6386F5509_.wvu.FilterData" localSheetId="0" hidden="1">'на 01.09.2016'!$A$7:$K$139</definedName>
    <definedName name="Z_6ECBF068_1C02_4E6C_B4E6_EB2B6EC464BD_.wvu.FilterData" localSheetId="0" hidden="1">'на 01.09.2016'!$A$7:$P$397</definedName>
    <definedName name="Z_6F1223ED_6D7E_4BDC_97BD_57C6B16DF50B_.wvu.FilterData" localSheetId="0" hidden="1">'на 01.09.2016'!$A$7:$P$397</definedName>
    <definedName name="Z_6F60BF81_D1A9_4E04_93E7_3EE7124B8D23_.wvu.FilterData" localSheetId="0" hidden="1">'на 01.09.2016'!$A$7:$K$139</definedName>
    <definedName name="Z_701E5EC3_E633_4389_A70E_4DD82E713CE4_.wvu.FilterData" localSheetId="0" hidden="1">'на 01.09.2016'!$A$7:$P$397</definedName>
    <definedName name="Z_70567FCD_AD22_4F19_9380_E5332B152F74_.wvu.FilterData" localSheetId="0" hidden="1">'на 01.09.2016'!$A$7:$P$397</definedName>
    <definedName name="Z_706D67E7_3361_40B2_829D_8844AB8060E2_.wvu.FilterData" localSheetId="0" hidden="1">'на 01.09.2016'!$A$7:$K$139</definedName>
    <definedName name="Z_7246383F_5A7C_4469_ABE5_F3DE99D7B98C_.wvu.FilterData" localSheetId="0" hidden="1">'на 01.09.2016'!$A$7:$K$139</definedName>
    <definedName name="Z_72971C39_5C91_4008_BD77_2DC24FDFDCB6_.wvu.FilterData" localSheetId="0" hidden="1">'на 01.09.2016'!$A$7:$P$397</definedName>
    <definedName name="Z_72BCCF18_7B1D_4731_977C_FF5C187A4C82_.wvu.FilterData" localSheetId="0" hidden="1">'на 01.09.2016'!$A$7:$P$397</definedName>
    <definedName name="Z_742C8CE1_B323_4B6C_901C_E2B713ADDB04_.wvu.FilterData" localSheetId="0" hidden="1">'на 01.09.2016'!$A$7:$K$139</definedName>
    <definedName name="Z_762066AC_D656_4392_845D_8C6157B76764_.wvu.FilterData" localSheetId="0" hidden="1">'на 01.09.2016'!$A$7:$K$139</definedName>
    <definedName name="Z_77081AB2_288F_4D22_9FAD_2429DAF1E510_.wvu.FilterData" localSheetId="0" hidden="1">'на 01.09.2016'!$A$7:$P$397</definedName>
    <definedName name="Z_799DB00F_141C_483B_A462_359C05A36D93_.wvu.FilterData" localSheetId="0" hidden="1">'на 01.09.2016'!$A$7:$K$139</definedName>
    <definedName name="Z_79E4D554_5B2C_41A7_B934_B430838AA03E_.wvu.FilterData" localSheetId="0" hidden="1">'на 01.09.2016'!$A$7:$P$397</definedName>
    <definedName name="Z_7A01CF94_90AE_4821_93EE_D3FE8D12D8D5_.wvu.FilterData" localSheetId="0" hidden="1">'на 01.09.2016'!$A$7:$P$397</definedName>
    <definedName name="Z_7A09065A_45D5_4C53_B9DD_121DF6719D64_.wvu.FilterData" localSheetId="0" hidden="1">'на 01.09.2016'!$A$7:$K$139</definedName>
    <definedName name="Z_7AE14342_BF53_4FA2_8C85_1038D8BA9596_.wvu.FilterData" localSheetId="0" hidden="1">'на 01.09.2016'!$A$7:$K$139</definedName>
    <definedName name="Z_7B245AB0_C2AF_4822_BFC4_2399F85856C1_.wvu.Cols" localSheetId="2" hidden="1">Лист1!$C:$E,Лист1!$M:$N</definedName>
    <definedName name="Z_7B245AB0_C2AF_4822_BFC4_2399F85856C1_.wvu.Cols" localSheetId="0" hidden="1">'на 01.09.2016'!$C:$E,'на 01.09.2016'!$M:$N</definedName>
    <definedName name="Z_7B245AB0_C2AF_4822_BFC4_2399F85856C1_.wvu.FilterData" localSheetId="0" hidden="1">'на 01.09.2016'!$A$7:$P$397</definedName>
    <definedName name="Z_7B245AB0_C2AF_4822_BFC4_2399F85856C1_.wvu.FilterData" localSheetId="1" hidden="1">перечень!$A$3:$D$30</definedName>
    <definedName name="Z_7B245AB0_C2AF_4822_BFC4_2399F85856C1_.wvu.PrintArea" localSheetId="0" hidden="1">'на 01.09.2016'!$A$1:$P$190</definedName>
    <definedName name="Z_7B245AB0_C2AF_4822_BFC4_2399F85856C1_.wvu.PrintArea" localSheetId="1" hidden="1">перечень!$A$1:$J$34</definedName>
    <definedName name="Z_7B245AB0_C2AF_4822_BFC4_2399F85856C1_.wvu.PrintTitles" localSheetId="0" hidden="1">'на 01.09.2016'!$5:$8</definedName>
    <definedName name="Z_7B245AB0_C2AF_4822_BFC4_2399F85856C1_.wvu.PrintTitles" localSheetId="1" hidden="1">перечень!$3:$3</definedName>
    <definedName name="Z_7BA445E6_50A0_4F67_81F2_B2945A5BFD3F_.wvu.FilterData" localSheetId="0" hidden="1">'на 01.09.2016'!$A$7:$P$397</definedName>
    <definedName name="Z_7BC27702_AD83_4B6E_860E_D694439F877D_.wvu.FilterData" localSheetId="0" hidden="1">'на 01.09.2016'!$A$7:$K$139</definedName>
    <definedName name="Z_7CB2D520_A8A5_4D6C_BE39_64C505DBAE2C_.wvu.FilterData" localSheetId="0" hidden="1">'на 01.09.2016'!$A$7:$P$397</definedName>
    <definedName name="Z_7DB24378_D193_4D04_9739_831C8625EEAE_.wvu.FilterData" localSheetId="0" hidden="1">'на 01.09.2016'!$A$7:$P$60</definedName>
    <definedName name="Z_81403331_C5EB_4760_B273_D3D9C8D43951_.wvu.FilterData" localSheetId="0" hidden="1">'на 01.09.2016'!$A$7:$K$139</definedName>
    <definedName name="Z_81BE03B7_DE2F_4E82_8496_CAF917D1CC3F_.wvu.FilterData" localSheetId="0" hidden="1">'на 01.09.2016'!$A$7:$P$397</definedName>
    <definedName name="Z_8220CA38_66F1_4F9F_A7AE_CF3DF89B0B66_.wvu.FilterData" localSheetId="0" hidden="1">'на 01.09.2016'!$A$7:$P$397</definedName>
    <definedName name="Z_8280D1E0_5055_49CD_A383_D6B2F2EBD512_.wvu.FilterData" localSheetId="0" hidden="1">'на 01.09.2016'!$A$7:$K$139</definedName>
    <definedName name="Z_840133FA_9546_4ED0_AA3E_E87F8F80931F_.wvu.FilterData" localSheetId="0" hidden="1">'на 01.09.2016'!$A$7:$P$397</definedName>
    <definedName name="Z_8462E4B7_FF49_4401_9CB1_027D70C3D86B_.wvu.FilterData" localSheetId="0" hidden="1">'на 01.09.2016'!$A$7:$K$139</definedName>
    <definedName name="Z_8518EF96_21CF_4CEA_B17C_8AA8E48B82CF_.wvu.FilterData" localSheetId="0" hidden="1">'на 01.09.2016'!$A$7:$P$397</definedName>
    <definedName name="Z_8649CC96_F63A_4F83_8C89_AA8F47AC05F3_.wvu.FilterData" localSheetId="0" hidden="1">'на 01.09.2016'!$A$7:$K$139</definedName>
    <definedName name="Z_8789C1A0_51C5_46EF_B1F1_B319BE008AC1_.wvu.FilterData" localSheetId="0" hidden="1">'на 01.09.2016'!$A$7:$P$397</definedName>
    <definedName name="Z_87AE545F_036F_4E8B_9D04_AE59AB8BAC14_.wvu.FilterData" localSheetId="0" hidden="1">'на 01.09.2016'!$A$7:$K$139</definedName>
    <definedName name="Z_87D86486_B5EF_4463_9350_9D1E042A42DF_.wvu.FilterData" localSheetId="0" hidden="1">'на 01.09.2016'!$A$7:$P$397</definedName>
    <definedName name="Z_8878B53B_0E8A_4A11_8A26_C2AC9BB8A4A9_.wvu.FilterData" localSheetId="0" hidden="1">'на 01.09.2016'!$A$7:$K$139</definedName>
    <definedName name="Z_888B8943_9277_42CB_A862_699801009D7B_.wvu.FilterData" localSheetId="0" hidden="1">'на 01.09.2016'!$A$7:$P$397</definedName>
    <definedName name="Z_8C04CD6E_A1CC_4EF8_8DD5_B859F52073A0_.wvu.FilterData" localSheetId="0" hidden="1">'на 01.09.2016'!$A$7:$P$397</definedName>
    <definedName name="Z_8C654415_86D2_479D_A511_8A4B3774E375_.wvu.FilterData" localSheetId="0" hidden="1">'на 01.09.2016'!$A$7:$K$139</definedName>
    <definedName name="Z_8CAD663B_CD5E_4846_B4FD_69BCB6D1EB12_.wvu.FilterData" localSheetId="0" hidden="1">'на 01.09.2016'!$A$7:$K$139</definedName>
    <definedName name="Z_8CB267BE_E783_4914_8FFF_50D79F1D75CF_.wvu.FilterData" localSheetId="0" hidden="1">'на 01.09.2016'!$A$7:$K$139</definedName>
    <definedName name="Z_8D7BE686_9FAF_4C26_8FD5_5395E55E0797_.wvu.FilterData" localSheetId="0" hidden="1">'на 01.09.2016'!$A$7:$K$139</definedName>
    <definedName name="Z_8D8D2F4C_3B7E_4C1F_A367_4BA418733E1A_.wvu.FilterData" localSheetId="0" hidden="1">'на 01.09.2016'!$A$7:$K$139</definedName>
    <definedName name="Z_8E62A2BE_7CE7_496E_AC79_F133ABDC98BF_.wvu.FilterData" localSheetId="0" hidden="1">'на 01.09.2016'!$A$7:$K$139</definedName>
    <definedName name="Z_8EEB3EFB_2D0D_474D_A904_853356F13984_.wvu.FilterData" localSheetId="0" hidden="1">'на 01.09.2016'!$A$7:$P$397</definedName>
    <definedName name="Z_9089CAE7_C9D5_4B44_BF40_622C1D4BEC1A_.wvu.FilterData" localSheetId="0" hidden="1">'на 01.09.2016'!$A$7:$P$397</definedName>
    <definedName name="Z_90B62036_E8E2_47F2_BA67_9490969E5E89_.wvu.FilterData" localSheetId="0" hidden="1">'на 01.09.2016'!$A$7:$P$397</definedName>
    <definedName name="Z_91A44DD7_EFA1_45BC_BF8A_C6EBAED142C3_.wvu.FilterData" localSheetId="0" hidden="1">'на 01.09.2016'!$A$7:$P$397</definedName>
    <definedName name="Z_92A69ACC_08E1_4049_9A4E_909BE09E8D3F_.wvu.FilterData" localSheetId="0" hidden="1">'на 01.09.2016'!$A$7:$P$397</definedName>
    <definedName name="Z_92A7494D_B642_4D2E_8A98_FA3ADD190BCE_.wvu.FilterData" localSheetId="0" hidden="1">'на 01.09.2016'!$A$7:$P$397</definedName>
    <definedName name="Z_92A89EF4_8A4E_4790_B0CC_01892B6039EB_.wvu.FilterData" localSheetId="0" hidden="1">'на 01.09.2016'!$A$7:$P$397</definedName>
    <definedName name="Z_92E38377_38CC_496E_BBD8_5394F7550FE3_.wvu.FilterData" localSheetId="0" hidden="1">'на 01.09.2016'!$A$7:$P$397</definedName>
    <definedName name="Z_93030161_EBD2_4C55_BB01_67290B2149A7_.wvu.FilterData" localSheetId="0" hidden="1">'на 01.09.2016'!$A$7:$P$397</definedName>
    <definedName name="Z_935DFEC4_8817_4BB5_A846_9674D5A05EE9_.wvu.FilterData" localSheetId="0" hidden="1">'на 01.09.2016'!$A$7:$K$139</definedName>
    <definedName name="Z_944D1186_FA84_48E6_9A44_19022D55084A_.wvu.FilterData" localSheetId="0" hidden="1">'на 01.09.2016'!$A$7:$P$397</definedName>
    <definedName name="Z_94E3B816_367C_44F4_94FC_13D42F694C13_.wvu.FilterData" localSheetId="0" hidden="1">'на 01.09.2016'!$A$7:$P$397</definedName>
    <definedName name="Z_95B5A563_A81C_425C_AC80_18232E0FA0F2_.wvu.FilterData" localSheetId="0" hidden="1">'на 01.09.2016'!$A$7:$K$139</definedName>
    <definedName name="Z_96167660_EA8B_4F7D_87A1_785E97B459B3_.wvu.FilterData" localSheetId="0" hidden="1">'на 01.09.2016'!$A$7:$K$139</definedName>
    <definedName name="Z_96879477_4713_4ABC_982A_7EB1C07B4DED_.wvu.FilterData" localSheetId="0" hidden="1">'на 01.09.2016'!$A$7:$K$139</definedName>
    <definedName name="Z_969E164A_AA47_4A3D_AECC_F3C5A8BBA40A_.wvu.FilterData" localSheetId="0" hidden="1">'на 01.09.2016'!$A$7:$P$397</definedName>
    <definedName name="Z_97B55429_A18E_43B5_9AF8_FE73FCDE4BBB_.wvu.FilterData" localSheetId="0" hidden="1">'на 01.09.2016'!$A$7:$P$397</definedName>
    <definedName name="Z_97F74FDF_2C27_4D85_A3A7_1EF51A8A2DFF_.wvu.FilterData" localSheetId="0" hidden="1">'на 01.09.2016'!$A$7:$K$139</definedName>
    <definedName name="Z_987C1B6D_28A7_49CB_BBF0_6C3FFB9FC1C5_.wvu.FilterData" localSheetId="0" hidden="1">'на 01.09.2016'!$A$7:$P$397</definedName>
    <definedName name="Z_998B8119_4FF3_4A16_838D_539C6AE34D55_.wvu.Cols" localSheetId="2" hidden="1">Лист1!$C:$E,Лист1!$M:$N</definedName>
    <definedName name="Z_998B8119_4FF3_4A16_838D_539C6AE34D55_.wvu.Cols" localSheetId="0" hidden="1">'на 01.09.2016'!$C:$E,'на 01.09.2016'!$M:$N</definedName>
    <definedName name="Z_998B8119_4FF3_4A16_838D_539C6AE34D55_.wvu.FilterData" localSheetId="0" hidden="1">'на 01.09.2016'!$A$7:$P$397</definedName>
    <definedName name="Z_998B8119_4FF3_4A16_838D_539C6AE34D55_.wvu.FilterData" localSheetId="1" hidden="1">перечень!$A$3:$D$30</definedName>
    <definedName name="Z_998B8119_4FF3_4A16_838D_539C6AE34D55_.wvu.PrintArea" localSheetId="0" hidden="1">'на 01.09.2016'!$A$1:$P$190</definedName>
    <definedName name="Z_998B8119_4FF3_4A16_838D_539C6AE34D55_.wvu.PrintArea" localSheetId="1" hidden="1">перечень!$A$1:$J$34</definedName>
    <definedName name="Z_998B8119_4FF3_4A16_838D_539C6AE34D55_.wvu.PrintTitles" localSheetId="0" hidden="1">'на 01.09.2016'!$5:$8</definedName>
    <definedName name="Z_998B8119_4FF3_4A16_838D_539C6AE34D55_.wvu.PrintTitles" localSheetId="1" hidden="1">перечень!$3:$3</definedName>
    <definedName name="Z_9A28E7E9_55CD_40D9_9E29_E07B8DD3C238_.wvu.FilterData" localSheetId="0" hidden="1">'на 01.09.2016'!$A$7:$P$397</definedName>
    <definedName name="Z_9A769443_7DFA_43D5_AB26_6F2EEF53DAF1_.wvu.FilterData" localSheetId="0" hidden="1">'на 01.09.2016'!$A$7:$K$139</definedName>
    <definedName name="Z_9C310551_EC8B_4B87_B5AF_39FC532C6FE3_.wvu.FilterData" localSheetId="0" hidden="1">'на 01.09.2016'!$A$7:$K$139</definedName>
    <definedName name="Z_9D24C81C_5B18_4B40_BF88_7236C9CAE366_.wvu.FilterData" localSheetId="0" hidden="1">'на 01.09.2016'!$A$7:$K$139</definedName>
    <definedName name="Z_9E720D93_31F0_4636_BA00_6CE6F83F3651_.wvu.FilterData" localSheetId="0" hidden="1">'на 01.09.2016'!$A$7:$P$397</definedName>
    <definedName name="Z_9E943B7D_D4C7_443F_BC4C_8AB90546D8A5_.wvu.Cols" localSheetId="0" hidden="1">'на 01.09.2016'!#REF!,'на 01.09.2016'!#REF!</definedName>
    <definedName name="Z_9E943B7D_D4C7_443F_BC4C_8AB90546D8A5_.wvu.FilterData" localSheetId="0" hidden="1">'на 01.09.2016'!$A$3:$P$60</definedName>
    <definedName name="Z_9E943B7D_D4C7_443F_BC4C_8AB90546D8A5_.wvu.PrintTitles" localSheetId="0" hidden="1">'на 01.09.2016'!$5:$8</definedName>
    <definedName name="Z_9E943B7D_D4C7_443F_BC4C_8AB90546D8A5_.wvu.Rows" localSheetId="0" hidden="1">'на 01.09.2016'!#REF!,'на 01.09.2016'!#REF!,'на 01.09.2016'!#REF!,'на 01.09.2016'!#REF!,'на 01.09.2016'!#REF!,'на 01.09.2016'!#REF!,'на 01.09.2016'!#REF!,'на 01.09.2016'!#REF!,'на 01.09.2016'!#REF!,'на 01.09.2016'!#REF!,'на 01.09.2016'!#REF!,'на 01.09.2016'!#REF!,'на 01.09.2016'!#REF!,'на 01.09.2016'!#REF!,'на 01.09.2016'!#REF!,'на 01.09.2016'!#REF!,'на 01.09.2016'!#REF!,'на 01.09.2016'!#REF!,'на 01.09.2016'!#REF!,'на 01.09.2016'!#REF!</definedName>
    <definedName name="Z_9EC99D85_9CBB_4D41_A0AC_5A782960B43C_.wvu.FilterData" localSheetId="0" hidden="1">'на 01.09.2016'!$A$7:$K$139</definedName>
    <definedName name="Z_A0A3CD9B_2436_40D7_91DB_589A95FBBF00_.wvu.Cols" localSheetId="2" hidden="1">Лист1!$C:$E,Лист1!$M:$N</definedName>
    <definedName name="Z_A0A3CD9B_2436_40D7_91DB_589A95FBBF00_.wvu.Cols" localSheetId="0" hidden="1">'на 01.09.2016'!$C:$E,'на 01.09.2016'!$M:$N</definedName>
    <definedName name="Z_A0A3CD9B_2436_40D7_91DB_589A95FBBF00_.wvu.FilterData" localSheetId="0" hidden="1">'на 01.09.2016'!$A$7:$P$397</definedName>
    <definedName name="Z_A0A3CD9B_2436_40D7_91DB_589A95FBBF00_.wvu.FilterData" localSheetId="1" hidden="1">перечень!$A$3:$D$30</definedName>
    <definedName name="Z_A0A3CD9B_2436_40D7_91DB_589A95FBBF00_.wvu.PrintArea" localSheetId="0" hidden="1">'на 01.09.2016'!$A$1:$P$199</definedName>
    <definedName name="Z_A0A3CD9B_2436_40D7_91DB_589A95FBBF00_.wvu.PrintArea" localSheetId="1" hidden="1">перечень!$A$1:$J$34</definedName>
    <definedName name="Z_A0A3CD9B_2436_40D7_91DB_589A95FBBF00_.wvu.PrintTitles" localSheetId="0" hidden="1">'на 01.09.2016'!$5:$8</definedName>
    <definedName name="Z_A0A3CD9B_2436_40D7_91DB_589A95FBBF00_.wvu.PrintTitles" localSheetId="1" hidden="1">перечень!$3:$3</definedName>
    <definedName name="Z_A0EB0A04_1124_498B_8C4B_C1E25B53C1A8_.wvu.FilterData" localSheetId="0" hidden="1">'на 01.09.2016'!$A$7:$K$139</definedName>
    <definedName name="Z_A113B19A_DB2C_4585_AED7_B7EF9F05E57E_.wvu.FilterData" localSheetId="0" hidden="1">'на 01.09.2016'!$A$7:$P$397</definedName>
    <definedName name="Z_A2611F3A_C06C_4662_B39E_6F08BA7C9B14_.wvu.FilterData" localSheetId="0" hidden="1">'на 01.09.2016'!$A$7:$K$139</definedName>
    <definedName name="Z_A28DA500_33FC_4913_B21A_3E2D7ED7A130_.wvu.FilterData" localSheetId="0" hidden="1">'на 01.09.2016'!$A$7:$K$139</definedName>
    <definedName name="Z_A62258B9_7768_4C4F_AFFC_537782E81CFF_.wvu.FilterData" localSheetId="0" hidden="1">'на 01.09.2016'!$A$7:$K$139</definedName>
    <definedName name="Z_A65D4FF6_26A1_47FE_AF98_41E05002FB1E_.wvu.FilterData" localSheetId="0" hidden="1">'на 01.09.2016'!$A$7:$K$139</definedName>
    <definedName name="Z_A6B98527_7CBF_4E4D_BDEA_9334A3EB779F_.wvu.Cols" localSheetId="0" hidden="1">'на 01.09.2016'!$C:$E,'на 01.09.2016'!$M:$N,'на 01.09.2016'!$Q:$BT</definedName>
    <definedName name="Z_A6B98527_7CBF_4E4D_BDEA_9334A3EB779F_.wvu.FilterData" localSheetId="0" hidden="1">'на 01.09.2016'!$A$7:$P$397</definedName>
    <definedName name="Z_A6B98527_7CBF_4E4D_BDEA_9334A3EB779F_.wvu.FilterData" localSheetId="1" hidden="1">перечень!$A$3:$D$30</definedName>
    <definedName name="Z_A6B98527_7CBF_4E4D_BDEA_9334A3EB779F_.wvu.PrintArea" localSheetId="0" hidden="1">'на 01.09.2016'!$A$1:$BT$190</definedName>
    <definedName name="Z_A6B98527_7CBF_4E4D_BDEA_9334A3EB779F_.wvu.PrintArea" localSheetId="1" hidden="1">перечень!$A$1:$J$34</definedName>
    <definedName name="Z_A6B98527_7CBF_4E4D_BDEA_9334A3EB779F_.wvu.PrintTitles" localSheetId="0" hidden="1">'на 01.09.2016'!$5:$7</definedName>
    <definedName name="Z_A6B98527_7CBF_4E4D_BDEA_9334A3EB779F_.wvu.PrintTitles" localSheetId="1" hidden="1">перечень!$3:$3</definedName>
    <definedName name="Z_A98C96B5_CE3A_4FF9_B3E5_0DBB66ADC5BB_.wvu.FilterData" localSheetId="0" hidden="1">'на 01.09.2016'!$A$7:$K$139</definedName>
    <definedName name="Z_A9BB2943_E4B1_4809_A926_69F8C50E1CF2_.wvu.FilterData" localSheetId="0" hidden="1">'на 01.09.2016'!$A$7:$P$397</definedName>
    <definedName name="Z_AA4C7BF5_07E0_4095_B165_D2AF600190FA_.wvu.FilterData" localSheetId="0" hidden="1">'на 01.09.2016'!$A$7:$K$139</definedName>
    <definedName name="Z_AAC4B5AB_1913_4D9C_A1FF_BD9345E009EB_.wvu.FilterData" localSheetId="0" hidden="1">'на 01.09.2016'!$A$7:$K$139</definedName>
    <definedName name="Z_ABAF42E6_6CD6_46B1_A0C6_0099C207BC1C_.wvu.FilterData" localSheetId="0" hidden="1">'на 01.09.2016'!$A$7:$P$397</definedName>
    <definedName name="Z_AD079EA2_4E18_46EE_8E20_0C7923C917D2_.wvu.FilterData" localSheetId="0" hidden="1">'на 01.09.2016'!$A$7:$P$397</definedName>
    <definedName name="Z_AF01D870_77CB_46A2_A95B_3A27FF42EAA8_.wvu.FilterData" localSheetId="0" hidden="1">'на 01.09.2016'!$A$7:$K$139</definedName>
    <definedName name="Z_AF1AEFF5_9892_4FCB_BD3E_6CF1CEE1B71B_.wvu.FilterData" localSheetId="0" hidden="1">'на 01.09.2016'!$A$7:$P$397</definedName>
    <definedName name="Z_AFC26506_1EE1_430F_B247_3257CE41958A_.wvu.FilterData" localSheetId="0" hidden="1">'на 01.09.2016'!$A$7:$P$397</definedName>
    <definedName name="Z_B00B4D71_156E_4DD9_93CC_1F392CBA035F_.wvu.FilterData" localSheetId="0" hidden="1">'на 01.09.2016'!$A$7:$P$397</definedName>
    <definedName name="Z_B180D137_9F25_4AD4_9057_37928F1867A8_.wvu.FilterData" localSheetId="0" hidden="1">'на 01.09.2016'!$A$7:$K$139</definedName>
    <definedName name="Z_B246A3A0_6AE0_4610_AE7A_F7490C26DBCA_.wvu.FilterData" localSheetId="0" hidden="1">'на 01.09.2016'!$A$7:$P$397</definedName>
    <definedName name="Z_B2D38EAC_E767_43A7_B7A2_621639FE347D_.wvu.FilterData" localSheetId="0" hidden="1">'на 01.09.2016'!$A$7:$K$139</definedName>
    <definedName name="Z_B3114865_FFF9_40B7_B9E6_C3642102DCF9_.wvu.FilterData" localSheetId="0" hidden="1">'на 01.09.2016'!$A$7:$P$397</definedName>
    <definedName name="Z_B3339176_D3D0_4D7A_8AAB_C0B71F942A93_.wvu.FilterData" localSheetId="0" hidden="1">'на 01.09.2016'!$A$7:$K$139</definedName>
    <definedName name="Z_B45FAC42_679D_43AB_B511_9E5492CAC2DB_.wvu.FilterData" localSheetId="0" hidden="1">'на 01.09.2016'!$A$7:$K$139</definedName>
    <definedName name="Z_B499C08D_A2E7_417F_A9B7_BFCE2B66534F_.wvu.FilterData" localSheetId="0" hidden="1">'на 01.09.2016'!$A$7:$P$397</definedName>
    <definedName name="Z_B5533D56_E1AE_4DE7_8436_EF9CA55A4943_.wvu.FilterData" localSheetId="0" hidden="1">'на 01.09.2016'!$A$7:$P$397</definedName>
    <definedName name="Z_B56BEF44_39DC_4F5B_A5E5_157C237832AF_.wvu.FilterData" localSheetId="0" hidden="1">'на 01.09.2016'!$A$7:$K$139</definedName>
    <definedName name="Z_B5A6FE62_B66C_45B1_AF17_B7686B0B3A3F_.wvu.FilterData" localSheetId="0" hidden="1">'на 01.09.2016'!$A$7:$P$397</definedName>
    <definedName name="Z_B603D180_E09A_4B9C_810F_9423EBA4A0EA_.wvu.FilterData" localSheetId="0" hidden="1">'на 01.09.2016'!$A$7:$P$397</definedName>
    <definedName name="Z_B698776A_6A96_445D_9813_F5440DD90495_.wvu.FilterData" localSheetId="0" hidden="1">'на 01.09.2016'!$A$7:$P$397</definedName>
    <definedName name="Z_B7A4DC29_6CA3_48BD_BD2B_5EA61D250392_.wvu.FilterData" localSheetId="0" hidden="1">'на 01.09.2016'!$A$7:$K$139</definedName>
    <definedName name="Z_B7F67755_3086_43A6_86E7_370F80E61BD0_.wvu.FilterData" localSheetId="0" hidden="1">'на 01.09.2016'!$A$7:$K$139</definedName>
    <definedName name="Z_BAB4825B_2E54_4A6C_A72D_1F8E7B4FEFFB_.wvu.FilterData" localSheetId="0" hidden="1">'на 01.09.2016'!$A$7:$P$397</definedName>
    <definedName name="Z_BC09D690_D177_4FC8_AE1F_8F0F0D5C6ECD_.wvu.FilterData" localSheetId="0" hidden="1">'на 01.09.2016'!$A$7:$P$397</definedName>
    <definedName name="Z_BC6910FC_42F8_457B_8F8D_9BC0111CE283_.wvu.FilterData" localSheetId="0" hidden="1">'на 01.09.2016'!$A$7:$P$397</definedName>
    <definedName name="Z_BE442298_736F_47F5_9592_76FFCCDA59DB_.wvu.FilterData" localSheetId="0" hidden="1">'на 01.09.2016'!$A$7:$K$139</definedName>
    <definedName name="Z_BE97AC31_BFEB_4520_BC44_68B0C987C70A_.wvu.FilterData" localSheetId="0" hidden="1">'на 01.09.2016'!$A$7:$P$397</definedName>
    <definedName name="Z_BEA0FDBA_BB07_4C19_8BBD_5E57EE395C09_.wvu.Cols" localSheetId="2" hidden="1">Лист1!$C:$E,Лист1!$M:$N</definedName>
    <definedName name="Z_BEA0FDBA_BB07_4C19_8BBD_5E57EE395C09_.wvu.Cols" localSheetId="0" hidden="1">'на 01.09.2016'!$C:$E,'на 01.09.2016'!$M:$N</definedName>
    <definedName name="Z_BEA0FDBA_BB07_4C19_8BBD_5E57EE395C09_.wvu.FilterData" localSheetId="0" hidden="1">'на 01.09.2016'!$A$7:$P$397</definedName>
    <definedName name="Z_BEA0FDBA_BB07_4C19_8BBD_5E57EE395C09_.wvu.FilterData" localSheetId="1" hidden="1">перечень!$A$3:$D$30</definedName>
    <definedName name="Z_BEA0FDBA_BB07_4C19_8BBD_5E57EE395C09_.wvu.PrintArea" localSheetId="0" hidden="1">'на 01.09.2016'!$A$1:$P$190</definedName>
    <definedName name="Z_BEA0FDBA_BB07_4C19_8BBD_5E57EE395C09_.wvu.PrintArea" localSheetId="1" hidden="1">перечень!$A$1:$J$34</definedName>
    <definedName name="Z_BEA0FDBA_BB07_4C19_8BBD_5E57EE395C09_.wvu.PrintTitles" localSheetId="0" hidden="1">'на 01.09.2016'!$5:$8</definedName>
    <definedName name="Z_BEA0FDBA_BB07_4C19_8BBD_5E57EE395C09_.wvu.PrintTitles" localSheetId="1" hidden="1">перечень!$3:$3</definedName>
    <definedName name="Z_BF65F093_304D_44F0_BF26_E5F8F9093CF5_.wvu.FilterData" localSheetId="0" hidden="1">'на 01.09.2016'!$A$7:$P$60</definedName>
    <definedName name="Z_C2E7FF11_4F7B_4EA9_AD45_A8385AC4BC24_.wvu.FilterData" localSheetId="0" hidden="1">'на 01.09.2016'!$A$7:$K$139</definedName>
    <definedName name="Z_C3E7B974_7E68_49C9_8A66_DEBBC3D71CB8_.wvu.FilterData" localSheetId="0" hidden="1">'на 01.09.2016'!$A$7:$K$139</definedName>
    <definedName name="Z_C47D5376_4107_461D_B353_0F0CCA5A27B8_.wvu.FilterData" localSheetId="0" hidden="1">'на 01.09.2016'!$A$7:$K$139</definedName>
    <definedName name="Z_C4A81194_E272_4927_9E06_D47C43E50753_.wvu.FilterData" localSheetId="0" hidden="1">'на 01.09.2016'!$A$7:$P$397</definedName>
    <definedName name="Z_C55D9313_9108_41CA_AD0E_FE2F7292C638_.wvu.FilterData" localSheetId="0" hidden="1">'на 01.09.2016'!$A$7:$K$139</definedName>
    <definedName name="Z_C5D84F85_3611_4C2A_903D_ECFF3A3DA3D9_.wvu.FilterData" localSheetId="0" hidden="1">'на 01.09.2016'!$A$7:$K$139</definedName>
    <definedName name="Z_C70C85CF_5ADB_4631_87C7_BA23E9BE3196_.wvu.FilterData" localSheetId="0" hidden="1">'на 01.09.2016'!$A$7:$P$397</definedName>
    <definedName name="Z_C74598AC_1D4B_466D_8455_294C1A2E69BB_.wvu.FilterData" localSheetId="0" hidden="1">'на 01.09.2016'!$A$7:$K$139</definedName>
    <definedName name="Z_C8C7D91A_0101_429D_A7C4_25C2A366909A_.wvu.Cols" localSheetId="0" hidden="1">'на 01.09.2016'!#REF!,'на 01.09.2016'!#REF!</definedName>
    <definedName name="Z_C8C7D91A_0101_429D_A7C4_25C2A366909A_.wvu.FilterData" localSheetId="0" hidden="1">'на 01.09.2016'!$A$7:$P$60</definedName>
    <definedName name="Z_C8C7D91A_0101_429D_A7C4_25C2A366909A_.wvu.Rows" localSheetId="0" hidden="1">'на 01.09.2016'!#REF!,'на 01.09.2016'!#REF!,'на 01.09.2016'!#REF!,'на 01.09.2016'!#REF!,'на 01.09.2016'!#REF!,'на 01.09.2016'!#REF!,'на 01.09.2016'!#REF!,'на 01.09.2016'!#REF!,'на 01.09.2016'!#REF!,'на 01.09.2016'!#REF!</definedName>
    <definedName name="Z_C9081176_529C_43E8_8E20_8AC24E7C2D35_.wvu.FilterData" localSheetId="0" hidden="1">'на 01.09.2016'!$A$7:$P$397</definedName>
    <definedName name="Z_C98B4A4E_FC1F_45B3_ABB0_7DC9BD4B8057_.wvu.FilterData" localSheetId="0" hidden="1">'на 01.09.2016'!$A$7:$K$139</definedName>
    <definedName name="Z_CAAD7F8A_A328_4C0A_9ECF_2AD83A08D699_.wvu.FilterData" localSheetId="0" hidden="1">'на 01.09.2016'!$A$7:$K$139</definedName>
    <definedName name="Z_CB1A56DC_A135_41E6_8A02_AE4E518C879F_.wvu.FilterData" localSheetId="0" hidden="1">'на 01.09.2016'!$A$7:$P$397</definedName>
    <definedName name="Z_CB1A56DC_A135_41E6_8A02_AE4E518C879F_.wvu.FilterData" localSheetId="1" hidden="1">перечень!$A$3:$D$30</definedName>
    <definedName name="Z_CB1A56DC_A135_41E6_8A02_AE4E518C879F_.wvu.PrintArea" localSheetId="1" hidden="1">перечень!$A$1:$J$34</definedName>
    <definedName name="Z_CB1A56DC_A135_41E6_8A02_AE4E518C879F_.wvu.PrintTitles" localSheetId="1" hidden="1">перечень!$3:$3</definedName>
    <definedName name="Z_CB4880DD_CE83_4DFC_BBA7_70687256D5A4_.wvu.FilterData" localSheetId="0" hidden="1">'на 01.09.2016'!$A$7:$K$139</definedName>
    <definedName name="Z_CBDBA949_FA00_4560_8001_BD00E63FCCA4_.wvu.FilterData" localSheetId="0" hidden="1">'на 01.09.2016'!$A$7:$P$397</definedName>
    <definedName name="Z_CBF12BD1_A071_4448_8003_32E74F40E3E3_.wvu.FilterData" localSheetId="0" hidden="1">'на 01.09.2016'!$A$7:$K$139</definedName>
    <definedName name="Z_CBF9D894_3FD2_4B68_BAC8_643DB23851C0_.wvu.FilterData" localSheetId="0" hidden="1">'на 01.09.2016'!$A$7:$K$139</definedName>
    <definedName name="Z_CBF9D894_3FD2_4B68_BAC8_643DB23851C0_.wvu.Rows" localSheetId="0" hidden="1">'на 01.09.2016'!#REF!,'на 01.09.2016'!#REF!,'на 01.09.2016'!#REF!,'на 01.09.2016'!#REF!</definedName>
    <definedName name="Z_CCC17219_B1A3_4C6B_B903_0E4550432FD0_.wvu.FilterData" localSheetId="0" hidden="1">'на 01.09.2016'!$A$7:$K$139</definedName>
    <definedName name="Z_D165341F_496A_48CE_829A_555B16787041_.wvu.FilterData" localSheetId="0" hidden="1">'на 01.09.2016'!$A$7:$P$397</definedName>
    <definedName name="Z_D20DFCFE_63F9_4265_B37B_4F36C46DF159_.wvu.Cols" localSheetId="0" hidden="1">'на 01.09.2016'!$C:$E,'на 01.09.2016'!$M:$N</definedName>
    <definedName name="Z_D20DFCFE_63F9_4265_B37B_4F36C46DF159_.wvu.FilterData" localSheetId="0" hidden="1">'на 01.09.2016'!$A$7:$P$397</definedName>
    <definedName name="Z_D20DFCFE_63F9_4265_B37B_4F36C46DF159_.wvu.FilterData" localSheetId="1" hidden="1">перечень!$A$3:$D$30</definedName>
    <definedName name="Z_D20DFCFE_63F9_4265_B37B_4F36C46DF159_.wvu.PrintArea" localSheetId="0" hidden="1">'на 01.09.2016'!$A$1:$P$190</definedName>
    <definedName name="Z_D20DFCFE_63F9_4265_B37B_4F36C46DF159_.wvu.PrintArea" localSheetId="1" hidden="1">перечень!$A$1:$J$34</definedName>
    <definedName name="Z_D20DFCFE_63F9_4265_B37B_4F36C46DF159_.wvu.PrintTitles" localSheetId="0" hidden="1">'на 01.09.2016'!$5:$8</definedName>
    <definedName name="Z_D20DFCFE_63F9_4265_B37B_4F36C46DF159_.wvu.PrintTitles" localSheetId="1" hidden="1">перечень!$3:$3</definedName>
    <definedName name="Z_D20DFCFE_63F9_4265_B37B_4F36C46DF159_.wvu.Rows" localSheetId="0" hidden="1">'на 01.09.2016'!#REF!,'на 01.09.2016'!#REF!,'на 01.09.2016'!#REF!,'на 01.09.2016'!#REF!,'на 01.09.2016'!#REF!</definedName>
    <definedName name="Z_D2422493_0DF6_4923_AFF9_1CE532FC9E0E_.wvu.FilterData" localSheetId="0" hidden="1">'на 01.09.2016'!$A$7:$P$397</definedName>
    <definedName name="Z_D26EAC32_42CC_46AF_8D27_8094727B2B8E_.wvu.FilterData" localSheetId="0" hidden="1">'на 01.09.2016'!$A$7:$P$397</definedName>
    <definedName name="Z_D298563F_7459_410D_A6E1_6B1CDFA6DAA7_.wvu.FilterData" localSheetId="0" hidden="1">'на 01.09.2016'!$A$7:$P$397</definedName>
    <definedName name="Z_D2D627FD_8F1D_4B0C_A4A1_1A515A2831A8_.wvu.FilterData" localSheetId="0" hidden="1">'на 01.09.2016'!$A$7:$P$397</definedName>
    <definedName name="Z_D343F548_3DE6_4716_9B8B_0FF1DF1B1DE3_.wvu.FilterData" localSheetId="0" hidden="1">'на 01.09.2016'!$A$7:$K$139</definedName>
    <definedName name="Z_D3607008_88A4_4735_BF9B_0D60A732D98C_.wvu.FilterData" localSheetId="0" hidden="1">'на 01.09.2016'!$A$7:$P$397</definedName>
    <definedName name="Z_D3C3EFC2_493C_4B9B_BC16_8147B08F8F65_.wvu.FilterData" localSheetId="0" hidden="1">'на 01.09.2016'!$A$7:$K$139</definedName>
    <definedName name="Z_D3D848E7_EB88_4E73_985E_C45B9AE68145_.wvu.FilterData" localSheetId="0" hidden="1">'на 01.09.2016'!$A$7:$P$397</definedName>
    <definedName name="Z_D3E86F4B_12A8_47CC_AEBE_74534991E315_.wvu.FilterData" localSheetId="0" hidden="1">'на 01.09.2016'!$A$7:$P$397</definedName>
    <definedName name="Z_D3F31BC4_4CDA_431B_BA5F_ADE76A923760_.wvu.FilterData" localSheetId="0" hidden="1">'на 01.09.2016'!$A$7:$K$139</definedName>
    <definedName name="Z_D45ABB34_16CC_462D_8459_2034D47F465D_.wvu.FilterData" localSheetId="0" hidden="1">'на 01.09.2016'!$A$7:$K$139</definedName>
    <definedName name="Z_D479007E_A9E8_4307_A3E8_18A2BB5C55F2_.wvu.FilterData" localSheetId="0" hidden="1">'на 01.09.2016'!$A$7:$P$397</definedName>
    <definedName name="Z_D48CEF89_B01B_4E1D_92B4_235EA4A40F11_.wvu.FilterData" localSheetId="0" hidden="1">'на 01.09.2016'!$A$7:$P$397</definedName>
    <definedName name="Z_D4B24D18_8D1D_47A1_AE9B_21E3F9EF98EE_.wvu.FilterData" localSheetId="0" hidden="1">'на 01.09.2016'!$A$7:$P$397</definedName>
    <definedName name="Z_D4E20E73_FD07_4BE4_B8FA_FE6B214643C4_.wvu.FilterData" localSheetId="0" hidden="1">'на 01.09.2016'!$A$7:$P$397</definedName>
    <definedName name="Z_D5317C3A_3EDA_404B_818D_EAF558810951_.wvu.FilterData" localSheetId="0" hidden="1">'на 01.09.2016'!$A$7:$K$139</definedName>
    <definedName name="Z_D537FB3B_712D_486A_BA32_4F73BEB2AA19_.wvu.FilterData" localSheetId="0" hidden="1">'на 01.09.2016'!$A$7:$K$139</definedName>
    <definedName name="Z_D6730C21_0555_4F4D_B589_9DE5CFF9C442_.wvu.FilterData" localSheetId="0" hidden="1">'на 01.09.2016'!$A$7:$K$139</definedName>
    <definedName name="Z_D7BC8E82_4392_4806_9DAE_D94253790B9C_.wvu.Cols" localSheetId="0" hidden="1">'на 01.09.2016'!$C:$E,'на 01.09.2016'!$M:$N,'на 01.09.2016'!$Q:$BT</definedName>
    <definedName name="Z_D7BC8E82_4392_4806_9DAE_D94253790B9C_.wvu.FilterData" localSheetId="0" hidden="1">'на 01.09.2016'!$A$7:$P$397</definedName>
    <definedName name="Z_D7BC8E82_4392_4806_9DAE_D94253790B9C_.wvu.FilterData" localSheetId="1" hidden="1">перечень!$A$3:$D$30</definedName>
    <definedName name="Z_D7BC8E82_4392_4806_9DAE_D94253790B9C_.wvu.PrintArea" localSheetId="0" hidden="1">'на 01.09.2016'!$A$1:$BT$190</definedName>
    <definedName name="Z_D7BC8E82_4392_4806_9DAE_D94253790B9C_.wvu.PrintArea" localSheetId="1" hidden="1">перечень!$A$1:$J$34</definedName>
    <definedName name="Z_D7BC8E82_4392_4806_9DAE_D94253790B9C_.wvu.PrintTitles" localSheetId="0" hidden="1">'на 01.09.2016'!$5:$7</definedName>
    <definedName name="Z_D7BC8E82_4392_4806_9DAE_D94253790B9C_.wvu.PrintTitles" localSheetId="1" hidden="1">перечень!$3:$3</definedName>
    <definedName name="Z_D8418465_ECB6_40A4_8538_9D6D02B4E5CE_.wvu.FilterData" localSheetId="0" hidden="1">'на 01.09.2016'!$A$7:$K$139</definedName>
    <definedName name="Z_D8836A46_4276_4875_86A1_BB0E2B53006C_.wvu.FilterData" localSheetId="0" hidden="1">'на 01.09.2016'!$A$7:$K$139</definedName>
    <definedName name="Z_D8EBE17E_7A1A_4392_901C_A4C8DD4BAF28_.wvu.FilterData" localSheetId="0" hidden="1">'на 01.09.2016'!$A$7:$K$139</definedName>
    <definedName name="Z_D930048B_C8C6_498D_B7FD_C4CFAF447C25_.wvu.FilterData" localSheetId="0" hidden="1">'на 01.09.2016'!$A$7:$P$397</definedName>
    <definedName name="Z_D93C7415_B321_4E66_84AD_0490D011FDE7_.wvu.FilterData" localSheetId="0" hidden="1">'на 01.09.2016'!$A$7:$P$397</definedName>
    <definedName name="Z_D954D534_B88D_4A21_85D6_C0757B597D1E_.wvu.FilterData" localSheetId="0" hidden="1">'на 01.09.2016'!$A$7:$P$397</definedName>
    <definedName name="Z_D95852A1_B0FC_4AC5_B62B_5CCBE05B0D15_.wvu.Cols" localSheetId="2" hidden="1">Лист1!$C:$E,Лист1!$M:$N</definedName>
    <definedName name="Z_D95852A1_B0FC_4AC5_B62B_5CCBE05B0D15_.wvu.Cols" localSheetId="0" hidden="1">'на 01.09.2016'!$C:$E,'на 01.09.2016'!$M:$N</definedName>
    <definedName name="Z_D95852A1_B0FC_4AC5_B62B_5CCBE05B0D15_.wvu.FilterData" localSheetId="0" hidden="1">'на 01.09.2016'!$A$7:$P$397</definedName>
    <definedName name="Z_D95852A1_B0FC_4AC5_B62B_5CCBE05B0D15_.wvu.FilterData" localSheetId="1" hidden="1">перечень!$A$3:$D$30</definedName>
    <definedName name="Z_D95852A1_B0FC_4AC5_B62B_5CCBE05B0D15_.wvu.PrintArea" localSheetId="0" hidden="1">'на 01.09.2016'!$A$1:$P$190</definedName>
    <definedName name="Z_D95852A1_B0FC_4AC5_B62B_5CCBE05B0D15_.wvu.PrintArea" localSheetId="1" hidden="1">перечень!$A$1:$J$34</definedName>
    <definedName name="Z_D95852A1_B0FC_4AC5_B62B_5CCBE05B0D15_.wvu.PrintTitles" localSheetId="1" hidden="1">перечень!$3:$3</definedName>
    <definedName name="Z_D97BC9A1_860C_45CB_8FAD_B69CEE39193C_.wvu.FilterData" localSheetId="0" hidden="1">'на 01.09.2016'!$A$7:$K$139</definedName>
    <definedName name="Z_D981844C_3450_4227_997A_DB8016618FC0_.wvu.FilterData" localSheetId="0" hidden="1">'на 01.09.2016'!$A$7:$P$397</definedName>
    <definedName name="Z_DA3033F1_502F_4BCA_B468_CBA3E20E7254_.wvu.FilterData" localSheetId="0" hidden="1">'на 01.09.2016'!$A$7:$P$397</definedName>
    <definedName name="Z_DA5DFA2D_C1AA_42F5_8828_D1905F1C9BD0_.wvu.FilterData" localSheetId="0" hidden="1">'на 01.09.2016'!$A$7:$P$397</definedName>
    <definedName name="Z_DBB88EE7_5C30_443C_A427_07BA2C7C58DA_.wvu.FilterData" localSheetId="0" hidden="1">'на 01.09.2016'!$A$7:$P$397</definedName>
    <definedName name="Z_DBF40914_927D_466F_8B6B_F333D1AFC9B0_.wvu.FilterData" localSheetId="0" hidden="1">'на 01.09.2016'!$A$7:$P$397</definedName>
    <definedName name="Z_DC263B7F_7E05_4E66_AE9F_05D6DDE635B1_.wvu.FilterData" localSheetId="0" hidden="1">'на 01.09.2016'!$A$7:$K$139</definedName>
    <definedName name="Z_DC796824_ECED_4590_A3E8_8D5A3534C637_.wvu.FilterData" localSheetId="0" hidden="1">'на 01.09.2016'!$A$7:$K$139</definedName>
    <definedName name="Z_DCC1B134_1BA2_418E_B1D0_0938D8743370_.wvu.FilterData" localSheetId="0" hidden="1">'на 01.09.2016'!$A$7:$K$139</definedName>
    <definedName name="Z_DDA68DE5_EF86_4A52_97CD_589088C5FE7A_.wvu.FilterData" localSheetId="0" hidden="1">'на 01.09.2016'!$A$7:$K$139</definedName>
    <definedName name="Z_DE210091_3D77_4964_B6B2_443A728CBE9E_.wvu.FilterData" localSheetId="0" hidden="1">'на 01.09.2016'!$A$7:$P$397</definedName>
    <definedName name="Z_DE2C3999_6F3E_4D24_86CF_8803BF5FAA48_.wvu.FilterData" localSheetId="0" hidden="1">'на 01.09.2016'!$A$7:$P$60</definedName>
    <definedName name="Z_DEA6EDB2_F27D_4C8F_B061_FD80BEC5543F_.wvu.FilterData" localSheetId="0" hidden="1">'на 01.09.2016'!$A$7:$K$139</definedName>
    <definedName name="Z_DECE3245_1BE4_4A3F_B644_E8DE80612C1E_.wvu.FilterData" localSheetId="0" hidden="1">'на 01.09.2016'!$A$7:$P$397</definedName>
    <definedName name="Z_DF6B7D46_D8DB_447A_83A4_53EE18358CF2_.wvu.FilterData" localSheetId="0" hidden="1">'на 01.09.2016'!$A$7:$P$397</definedName>
    <definedName name="Z_DFB08918_D5A4_4224_AEA5_63620C0D53DD_.wvu.FilterData" localSheetId="0" hidden="1">'на 01.09.2016'!$A$7:$P$397</definedName>
    <definedName name="Z_E0B34E03_0754_4713_9A98_5ACEE69C9E71_.wvu.FilterData" localSheetId="0" hidden="1">'на 01.09.2016'!$A$7:$K$139</definedName>
    <definedName name="Z_E1E7843B_3EC3_4FFF_9B1C_53E7DE6A4004_.wvu.FilterData" localSheetId="0" hidden="1">'на 01.09.2016'!$A$7:$K$139</definedName>
    <definedName name="Z_E25FE844_1AD8_4E16_B2DB_9033A702F13A_.wvu.FilterData" localSheetId="0" hidden="1">'на 01.09.2016'!$A$7:$K$139</definedName>
    <definedName name="Z_E2861A4E_263A_4BE6_9223_2DA352B0AD2D_.wvu.FilterData" localSheetId="0" hidden="1">'на 01.09.2016'!$A$7:$K$139</definedName>
    <definedName name="Z_E2FB76DF_1C94_4620_8087_FEE12FDAA3D2_.wvu.FilterData" localSheetId="0" hidden="1">'на 01.09.2016'!$A$7:$K$139</definedName>
    <definedName name="Z_E3C6ECC1_0F12_435D_9B36_B23F6133337F_.wvu.FilterData" localSheetId="0" hidden="1">'на 01.09.2016'!$A$7:$K$139</definedName>
    <definedName name="Z_E437F2F2_3B79_49F0_9901_D31498A163D7_.wvu.FilterData" localSheetId="0" hidden="1">'на 01.09.2016'!$A$7:$P$397</definedName>
    <definedName name="Z_E531BAEE_E556_4AEF_B35B_C675BD99939C_.wvu.FilterData" localSheetId="0" hidden="1">'на 01.09.2016'!$A$7:$P$397</definedName>
    <definedName name="Z_E5EC7523_F88D_4AD4_9A8D_84C16AB7BFC1_.wvu.FilterData" localSheetId="0" hidden="1">'на 01.09.2016'!$A$7:$P$397</definedName>
    <definedName name="Z_E79ABD49_719F_4887_A43D_3DE66BF8AD95_.wvu.FilterData" localSheetId="0" hidden="1">'на 01.09.2016'!$A$7:$P$397</definedName>
    <definedName name="Z_E85A9955_A3DD_46D7_A4A3_9B67A0E2B00C_.wvu.FilterData" localSheetId="0" hidden="1">'на 01.09.2016'!$A$7:$P$397</definedName>
    <definedName name="Z_E88E1D11_18C0_4724_9D4F_2C85DDF57564_.wvu.FilterData" localSheetId="0" hidden="1">'на 01.09.2016'!$A$7:$K$139</definedName>
    <definedName name="Z_EA234825_5817_4C50_AC45_83D70F061045_.wvu.FilterData" localSheetId="0" hidden="1">'на 01.09.2016'!$A$7:$P$397</definedName>
    <definedName name="Z_EA769D6D_3269_481D_9974_BC10C6C55FF6_.wvu.FilterData" localSheetId="0" hidden="1">'на 01.09.2016'!$A$7:$K$139</definedName>
    <definedName name="Z_EB2D8BE6_72BC_4D23_BEC7_DBF109493B0C_.wvu.FilterData" localSheetId="0" hidden="1">'на 01.09.2016'!$A$7:$P$397</definedName>
    <definedName name="Z_EB2D8BE6_72BC_4D23_BEC7_DBF109493B0C_.wvu.FilterData" localSheetId="1" hidden="1">перечень!$A$3:$D$30</definedName>
    <definedName name="Z_EBCDBD63_50FE_4D52_B280_2A723FA77236_.wvu.FilterData" localSheetId="0" hidden="1">'на 01.09.2016'!$A$7:$K$139</definedName>
    <definedName name="Z_EC6B58CC_C695_4EAF_B026_DA7CE6279D7A_.wvu.FilterData" localSheetId="0" hidden="1">'на 01.09.2016'!$A$7:$P$397</definedName>
    <definedName name="Z_EC741CE0_C720_481D_9CFE_596247B0CF36_.wvu.FilterData" localSheetId="0" hidden="1">'на 01.09.2016'!$A$7:$P$397</definedName>
    <definedName name="Z_ED74FBD3_DF35_4798_8C2A_7ADA46D140AA_.wvu.FilterData" localSheetId="0" hidden="1">'на 01.09.2016'!$A$7:$K$139</definedName>
    <definedName name="Z_EF1610FE_843B_4864_9DAD_05F697DD47DC_.wvu.FilterData" localSheetId="0" hidden="1">'на 01.09.2016'!$A$7:$P$397</definedName>
    <definedName name="Z_EFFADE78_6F23_4B5D_AE74_3E82BA29B398_.wvu.FilterData" localSheetId="0" hidden="1">'на 01.09.2016'!$A$7:$K$139</definedName>
    <definedName name="Z_F140A98E_30AA_4FD0_8B93_08F8951EDE5E_.wvu.FilterData" localSheetId="0" hidden="1">'на 01.09.2016'!$A$7:$K$139</definedName>
    <definedName name="Z_F2110B0B_AAE7_42F0_B553_C360E9249AD4_.wvu.Cols" localSheetId="0" hidden="1">'на 01.09.2016'!$C:$E,'на 01.09.2016'!$M:$N,'на 01.09.2016'!$Q:$BT</definedName>
    <definedName name="Z_F2110B0B_AAE7_42F0_B553_C360E9249AD4_.wvu.FilterData" localSheetId="0" hidden="1">'на 01.09.2016'!$A$7:$P$397</definedName>
    <definedName name="Z_F2110B0B_AAE7_42F0_B553_C360E9249AD4_.wvu.FilterData" localSheetId="1" hidden="1">перечень!$A$3:$D$30</definedName>
    <definedName name="Z_F2110B0B_AAE7_42F0_B553_C360E9249AD4_.wvu.PrintArea" localSheetId="0" hidden="1">'на 01.09.2016'!$A$1:$BT$190</definedName>
    <definedName name="Z_F2110B0B_AAE7_42F0_B553_C360E9249AD4_.wvu.PrintArea" localSheetId="1" hidden="1">перечень!$A$1:$J$34</definedName>
    <definedName name="Z_F2110B0B_AAE7_42F0_B553_C360E9249AD4_.wvu.PrintTitles" localSheetId="0" hidden="1">'на 01.09.2016'!$5:$7</definedName>
    <definedName name="Z_F2110B0B_AAE7_42F0_B553_C360E9249AD4_.wvu.PrintTitles" localSheetId="1" hidden="1">перечень!$3:$3</definedName>
    <definedName name="Z_F30FADD4_07E9_4B4F_B53A_86E542EF0570_.wvu.FilterData" localSheetId="0" hidden="1">'на 01.09.2016'!$A$7:$P$397</definedName>
    <definedName name="Z_F34EC6B1_390D_4B75_852C_F8775ACC3B29_.wvu.FilterData" localSheetId="0" hidden="1">'на 01.09.2016'!$A$7:$P$397</definedName>
    <definedName name="Z_F3E148B1_ED1B_4330_84E7_EFC4722C807A_.wvu.FilterData" localSheetId="0" hidden="1">'на 01.09.2016'!$A$7:$P$397</definedName>
    <definedName name="Z_F8CD48ED_A67F_492E_A417_09D352E93E12_.wvu.FilterData" localSheetId="0" hidden="1">'на 01.09.2016'!$A$7:$K$139</definedName>
    <definedName name="Z_F8E4304E_2CC4_4F73_A08A_BA6FE8EB77EF_.wvu.FilterData" localSheetId="0" hidden="1">'на 01.09.2016'!$A$7:$P$397</definedName>
    <definedName name="Z_F9F96D65_7E5D_4EDB_B47B_CD800EE8793F_.wvu.FilterData" localSheetId="0" hidden="1">'на 01.09.2016'!$A$7:$K$139</definedName>
    <definedName name="Z_FA263ADC_F7F9_4F21_8D0A_B162CFE58321_.wvu.FilterData" localSheetId="0" hidden="1">'на 01.09.2016'!$A$7:$P$397</definedName>
    <definedName name="Z_FA47CA05_CCF1_4EDC_AAF6_26967695B1D8_.wvu.FilterData" localSheetId="0" hidden="1">'на 01.09.2016'!$A$7:$P$397</definedName>
    <definedName name="Z_FAEA1540_FB92_4A7F_8E18_381E2C6FAF74_.wvu.FilterData" localSheetId="0" hidden="1">'на 01.09.2016'!$A$7:$K$139</definedName>
    <definedName name="Z_FBEEEF36_B47B_4551_8D8A_904E9E1222D4_.wvu.FilterData" localSheetId="0" hidden="1">'на 01.09.2016'!$A$7:$K$139</definedName>
    <definedName name="Z_FD0E1B66_1ED2_4768_AEAA_4813773FCD1B_.wvu.FilterData" localSheetId="0" hidden="1">'на 01.09.2016'!$A$7:$K$139</definedName>
    <definedName name="Z_FD5CEF9A_4499_4018_A32D_B5C5AF11D935_.wvu.FilterData" localSheetId="0" hidden="1">'на 01.09.2016'!$A$7:$P$397</definedName>
    <definedName name="Z_FE9D531A_F987_4486_AC6F_37568587E0CC_.wvu.FilterData" localSheetId="0" hidden="1">'на 01.09.2016'!$A$7:$P$397</definedName>
    <definedName name="Z_FEE18FC2_E5D2_4C59_B7D0_FDF82F2008D4_.wvu.FilterData" localSheetId="0" hidden="1">'на 01.09.2016'!$A$7:$P$397</definedName>
    <definedName name="Z_FF7CC20D_CA9E_46D2_A113_9EB09E8A7DF6_.wvu.FilterData" localSheetId="0" hidden="1">'на 01.09.2016'!$A$7:$K$139</definedName>
    <definedName name="Z_FF9EFDBE_F5FD_432E_96BA_C22D4E9B91D4_.wvu.FilterData" localSheetId="0" hidden="1">'на 01.09.2016'!$A$7:$P$397</definedName>
    <definedName name="_xlnm.Print_Titles" localSheetId="0">'на 01.09.2016'!$5:$8</definedName>
    <definedName name="_xlnm.Print_Titles" localSheetId="1">перечень!$3:$3</definedName>
    <definedName name="_xlnm.Print_Area" localSheetId="0">'на 01.09.2016'!$A$1:$P$190</definedName>
    <definedName name="_xlnm.Print_Area" localSheetId="1">перечень!$A$1:$J$34</definedName>
  </definedNames>
  <calcPr calcId="145621" fullPrecision="0"/>
  <customWorkbookViews>
    <customWorkbookView name="Рогожина Ольга Сергеевна - Личное представление" guid="{BEA0FDBA-BB07-4C19-8BBD-5E57EE395C09}" mergeInterval="0" personalView="1" maximized="1" windowWidth="1276" windowHeight="735" tabRatio="518" activeSheetId="1"/>
    <customWorkbookView name="Вершинина Мария Игоревна - Личное представление" guid="{A0A3CD9B-2436-40D7-91DB-589A95FBBF00}" mergeInterval="0" personalView="1" maximized="1" windowWidth="1276" windowHeight="799" tabRatio="518" activeSheetId="1"/>
    <customWorkbookView name="kou - Личное представление" guid="{998B8119-4FF3-4A16-838D-539C6AE34D55}" mergeInterval="0" personalView="1" maximized="1" windowWidth="1148" windowHeight="645"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Шулепова Ольга Анатольевна - Личное представление" guid="{67ADFAE6-A9AF-44D7-8539-93CD0F6B7849}" mergeInterval="0" personalView="1" maximized="1" windowWidth="1276" windowHeight="75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Залецкая Ольга Геннадьевна - Личное представление" guid="{D95852A1-B0FC-4AC5-B62B-5CCBE05B0D15}"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kaa - Личное представление" guid="{7B245AB0-C2AF-4822-BFC4-2399F85856C1}" mergeInterval="0" personalView="1" maximized="1" xWindow="1" yWindow="1" windowWidth="1280" windowHeight="803"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O150" i="1" l="1"/>
  <c r="O151" i="1"/>
  <c r="O152" i="1"/>
  <c r="O149" i="1"/>
  <c r="O147" i="1"/>
  <c r="G176" i="1" l="1"/>
  <c r="F176" i="1"/>
  <c r="O101" i="1" l="1"/>
  <c r="H101" i="1"/>
  <c r="H24" i="1" l="1"/>
  <c r="H57" i="1" l="1"/>
  <c r="H26" i="1"/>
  <c r="H25" i="1" s="1"/>
  <c r="H42" i="1" l="1"/>
  <c r="L32" i="1"/>
  <c r="L24" i="1" l="1"/>
  <c r="L183" i="1"/>
  <c r="L182" i="1"/>
  <c r="L50" i="1" l="1"/>
  <c r="L25" i="1" l="1"/>
  <c r="J25" i="1"/>
  <c r="G25" i="1"/>
  <c r="F25" i="1"/>
  <c r="J176" i="1"/>
  <c r="O83" i="1"/>
  <c r="O82" i="1"/>
  <c r="O77" i="1"/>
  <c r="O76" i="1"/>
  <c r="L56" i="1" l="1"/>
  <c r="L175" i="1"/>
  <c r="O175" i="1" s="1"/>
  <c r="L176" i="1"/>
  <c r="O176" i="1" s="1"/>
  <c r="L143" i="1"/>
  <c r="L31" i="1"/>
  <c r="K55" i="1"/>
  <c r="G32" i="1"/>
  <c r="J169" i="1"/>
  <c r="H169" i="1" s="1"/>
  <c r="L170" i="1"/>
  <c r="L169" i="1"/>
  <c r="L168" i="1"/>
  <c r="G170" i="1"/>
  <c r="G169" i="1"/>
  <c r="J170" i="1" l="1"/>
  <c r="H170" i="1" s="1"/>
  <c r="H152" i="1"/>
  <c r="J152" i="1" s="1"/>
  <c r="G33" i="1" l="1"/>
  <c r="L150" i="1" l="1"/>
  <c r="L89" i="1"/>
  <c r="J128" i="1"/>
  <c r="H32" i="1" l="1"/>
  <c r="H88" i="1"/>
  <c r="J88" i="1" l="1"/>
  <c r="H70" i="1"/>
  <c r="O19" i="1"/>
  <c r="K19" i="1"/>
  <c r="I19" i="1"/>
  <c r="O43" i="1" l="1"/>
  <c r="O46" i="1"/>
  <c r="O25" i="1"/>
  <c r="O50" i="1"/>
  <c r="O53" i="1"/>
  <c r="O37" i="1" l="1"/>
  <c r="K37" i="1"/>
  <c r="O38" i="1"/>
  <c r="I33" i="1" l="1"/>
  <c r="K33" i="1"/>
  <c r="I149" i="1"/>
  <c r="O113" i="1"/>
  <c r="O32" i="1"/>
  <c r="O168" i="1"/>
  <c r="O170" i="1"/>
  <c r="O33" i="1"/>
  <c r="L48" i="1"/>
  <c r="J166" i="1" l="1"/>
  <c r="L98" i="1" l="1"/>
  <c r="I77" i="1" l="1"/>
  <c r="O66" i="1" l="1"/>
  <c r="L73" i="1" l="1"/>
  <c r="L74" i="1"/>
  <c r="L80" i="1"/>
  <c r="L90" i="1"/>
  <c r="L72" i="1" s="1"/>
  <c r="L71" i="1"/>
  <c r="L88" i="1"/>
  <c r="L92" i="1"/>
  <c r="O129" i="1"/>
  <c r="L128" i="1"/>
  <c r="O137" i="1"/>
  <c r="O136" i="1"/>
  <c r="O135" i="1"/>
  <c r="O131" i="1"/>
  <c r="O130" i="1"/>
  <c r="O125" i="1"/>
  <c r="O124" i="1"/>
  <c r="O123" i="1"/>
  <c r="O119" i="1"/>
  <c r="O118" i="1"/>
  <c r="O117" i="1"/>
  <c r="O112" i="1"/>
  <c r="O111" i="1"/>
  <c r="O100" i="1"/>
  <c r="O99" i="1"/>
  <c r="O95" i="1"/>
  <c r="O94" i="1"/>
  <c r="O93" i="1"/>
  <c r="O81" i="1"/>
  <c r="O75" i="1"/>
  <c r="O110" i="1" l="1"/>
  <c r="O116" i="1"/>
  <c r="O134" i="1"/>
  <c r="O128" i="1"/>
  <c r="O122" i="1"/>
  <c r="O74" i="1"/>
  <c r="L86" i="1"/>
  <c r="O92" i="1"/>
  <c r="O98" i="1"/>
  <c r="C53" i="1"/>
  <c r="D53" i="1"/>
  <c r="E53" i="1"/>
  <c r="E186" i="3" l="1"/>
  <c r="D186" i="3"/>
  <c r="C186" i="3"/>
  <c r="E185" i="3"/>
  <c r="D185" i="3"/>
  <c r="C185" i="3"/>
  <c r="E184" i="3"/>
  <c r="D184" i="3"/>
  <c r="C184" i="3"/>
  <c r="O181" i="3"/>
  <c r="K181" i="3"/>
  <c r="I181" i="3"/>
  <c r="O180" i="3"/>
  <c r="K180" i="3"/>
  <c r="I180" i="3"/>
  <c r="L179" i="3"/>
  <c r="O179" i="3" s="1"/>
  <c r="K179" i="3"/>
  <c r="I179" i="3"/>
  <c r="L178" i="3"/>
  <c r="O178" i="3" s="1"/>
  <c r="K178" i="3"/>
  <c r="H178" i="3"/>
  <c r="I178" i="3" s="1"/>
  <c r="O177" i="3"/>
  <c r="K177" i="3"/>
  <c r="I177" i="3"/>
  <c r="E177" i="3"/>
  <c r="E176" i="3" s="1"/>
  <c r="D177" i="3"/>
  <c r="D176" i="3" s="1"/>
  <c r="C177" i="3"/>
  <c r="C176" i="3" s="1"/>
  <c r="N176" i="3"/>
  <c r="M176" i="3"/>
  <c r="J176" i="3"/>
  <c r="H176" i="3"/>
  <c r="G176" i="3"/>
  <c r="F176" i="3"/>
  <c r="E175" i="3"/>
  <c r="D175" i="3"/>
  <c r="C175" i="3"/>
  <c r="E174" i="3"/>
  <c r="D174" i="3"/>
  <c r="C174" i="3"/>
  <c r="G173" i="3"/>
  <c r="O173" i="3" s="1"/>
  <c r="L172" i="3"/>
  <c r="H172" i="3"/>
  <c r="G172" i="3"/>
  <c r="F172" i="3"/>
  <c r="F169" i="3" s="1"/>
  <c r="L171" i="3"/>
  <c r="G171" i="3"/>
  <c r="O170" i="3"/>
  <c r="E170" i="3"/>
  <c r="E169" i="3" s="1"/>
  <c r="D170" i="3"/>
  <c r="D169" i="3" s="1"/>
  <c r="C170" i="3"/>
  <c r="C169" i="3" s="1"/>
  <c r="N169" i="3"/>
  <c r="M169" i="3"/>
  <c r="L169" i="3"/>
  <c r="J169" i="3"/>
  <c r="E168" i="3"/>
  <c r="D168" i="3"/>
  <c r="C168" i="3"/>
  <c r="O166" i="3"/>
  <c r="K166" i="3"/>
  <c r="I166" i="3"/>
  <c r="O165" i="3"/>
  <c r="K165" i="3"/>
  <c r="I165" i="3"/>
  <c r="E165" i="3"/>
  <c r="D165" i="3"/>
  <c r="C165" i="3"/>
  <c r="O164" i="3"/>
  <c r="K164" i="3"/>
  <c r="I164" i="3"/>
  <c r="N162" i="3"/>
  <c r="M162" i="3"/>
  <c r="L162" i="3"/>
  <c r="J162" i="3"/>
  <c r="H162" i="3"/>
  <c r="G162" i="3"/>
  <c r="F162" i="3"/>
  <c r="D162" i="3"/>
  <c r="C162" i="3"/>
  <c r="O148" i="3"/>
  <c r="K148" i="3"/>
  <c r="I148" i="3"/>
  <c r="O147" i="3"/>
  <c r="K147" i="3"/>
  <c r="I147" i="3"/>
  <c r="L146" i="3"/>
  <c r="O146" i="3" s="1"/>
  <c r="K146" i="3"/>
  <c r="I146" i="3"/>
  <c r="O145" i="3"/>
  <c r="K145" i="3"/>
  <c r="I145" i="3"/>
  <c r="N144" i="3"/>
  <c r="M144" i="3"/>
  <c r="L144" i="3"/>
  <c r="J144" i="3"/>
  <c r="H144" i="3"/>
  <c r="G144" i="3"/>
  <c r="F144" i="3"/>
  <c r="O143" i="3"/>
  <c r="K143" i="3"/>
  <c r="H143" i="3"/>
  <c r="I143" i="3" s="1"/>
  <c r="O142" i="3"/>
  <c r="H141" i="3"/>
  <c r="G141" i="3"/>
  <c r="O141" i="3" s="1"/>
  <c r="F141" i="3"/>
  <c r="F138" i="3" s="1"/>
  <c r="L140" i="3"/>
  <c r="O140" i="3" s="1"/>
  <c r="J140" i="3"/>
  <c r="K140" i="3" s="1"/>
  <c r="H140" i="3"/>
  <c r="I140" i="3" s="1"/>
  <c r="O139" i="3"/>
  <c r="E138" i="3"/>
  <c r="D138" i="3"/>
  <c r="C138" i="3"/>
  <c r="M133" i="3"/>
  <c r="M132" i="3" s="1"/>
  <c r="K133" i="3"/>
  <c r="I133" i="3"/>
  <c r="J132" i="3"/>
  <c r="H132" i="3"/>
  <c r="G132" i="3"/>
  <c r="F132" i="3"/>
  <c r="M128" i="3"/>
  <c r="N128" i="3" s="1"/>
  <c r="K128" i="3"/>
  <c r="H128" i="3"/>
  <c r="I128" i="3" s="1"/>
  <c r="M127" i="3"/>
  <c r="O127" i="3" s="1"/>
  <c r="K127" i="3"/>
  <c r="H127" i="3"/>
  <c r="I127" i="3" s="1"/>
  <c r="J126" i="3"/>
  <c r="G126" i="3"/>
  <c r="F126" i="3"/>
  <c r="O121" i="3"/>
  <c r="M121" i="3"/>
  <c r="N121" i="3" s="1"/>
  <c r="K121" i="3"/>
  <c r="I121" i="3"/>
  <c r="O120" i="3"/>
  <c r="L120" i="3"/>
  <c r="J120" i="3"/>
  <c r="H120" i="3"/>
  <c r="G120" i="3"/>
  <c r="F120" i="3"/>
  <c r="Q119" i="3"/>
  <c r="P119" i="3"/>
  <c r="Q118" i="3"/>
  <c r="P118" i="3"/>
  <c r="Q117" i="3"/>
  <c r="P117" i="3"/>
  <c r="Q116" i="3"/>
  <c r="O116" i="3"/>
  <c r="M116" i="3"/>
  <c r="N116" i="3" s="1"/>
  <c r="K116" i="3"/>
  <c r="I116" i="3"/>
  <c r="Q115" i="3"/>
  <c r="P115" i="3"/>
  <c r="L114" i="3"/>
  <c r="J114" i="3"/>
  <c r="H114" i="3"/>
  <c r="G114" i="3"/>
  <c r="F114" i="3"/>
  <c r="N113" i="3"/>
  <c r="N112" i="3"/>
  <c r="O111" i="3"/>
  <c r="M111" i="3"/>
  <c r="N111" i="3" s="1"/>
  <c r="K111" i="3"/>
  <c r="I111" i="3"/>
  <c r="O110" i="3"/>
  <c r="M110" i="3"/>
  <c r="N110" i="3" s="1"/>
  <c r="K110" i="3"/>
  <c r="I110" i="3"/>
  <c r="O109" i="3"/>
  <c r="O108" i="3" s="1"/>
  <c r="M109" i="3"/>
  <c r="N109" i="3" s="1"/>
  <c r="N108" i="3" s="1"/>
  <c r="K109" i="3"/>
  <c r="I109" i="3"/>
  <c r="L108" i="3"/>
  <c r="J108" i="3"/>
  <c r="H108" i="3"/>
  <c r="G108" i="3"/>
  <c r="F108" i="3"/>
  <c r="H107" i="3"/>
  <c r="G107" i="3"/>
  <c r="F107" i="3"/>
  <c r="H106" i="3"/>
  <c r="G106" i="3"/>
  <c r="F106" i="3"/>
  <c r="L105" i="3"/>
  <c r="J105" i="3"/>
  <c r="H105" i="3"/>
  <c r="G105" i="3"/>
  <c r="F105" i="3"/>
  <c r="L104" i="3"/>
  <c r="J104" i="3"/>
  <c r="G104" i="3"/>
  <c r="F104" i="3"/>
  <c r="L103" i="3"/>
  <c r="J103" i="3"/>
  <c r="J61" i="3" s="1"/>
  <c r="J10" i="3" s="1"/>
  <c r="H103" i="3"/>
  <c r="G103" i="3"/>
  <c r="F103" i="3"/>
  <c r="M99" i="3"/>
  <c r="O99" i="3" s="1"/>
  <c r="K99" i="3"/>
  <c r="H99" i="3"/>
  <c r="I99" i="3" s="1"/>
  <c r="M98" i="3"/>
  <c r="O98" i="3" s="1"/>
  <c r="K98" i="3"/>
  <c r="H98" i="3"/>
  <c r="I98" i="3" s="1"/>
  <c r="J96" i="3"/>
  <c r="G96" i="3"/>
  <c r="F96" i="3"/>
  <c r="M94" i="3"/>
  <c r="O94" i="3" s="1"/>
  <c r="K94" i="3"/>
  <c r="I94" i="3"/>
  <c r="M93" i="3"/>
  <c r="O93" i="3" s="1"/>
  <c r="K93" i="3"/>
  <c r="H93" i="3"/>
  <c r="I93" i="3" s="1"/>
  <c r="M92" i="3"/>
  <c r="O92" i="3" s="1"/>
  <c r="J92" i="3"/>
  <c r="J90" i="3" s="1"/>
  <c r="I92" i="3"/>
  <c r="G90" i="3"/>
  <c r="F90" i="3"/>
  <c r="H89" i="3"/>
  <c r="H71" i="3" s="1"/>
  <c r="G89" i="3"/>
  <c r="G71" i="3" s="1"/>
  <c r="F89" i="3"/>
  <c r="F71" i="3" s="1"/>
  <c r="J88" i="3"/>
  <c r="J70" i="3" s="1"/>
  <c r="H88" i="3"/>
  <c r="G88" i="3"/>
  <c r="G70" i="3" s="1"/>
  <c r="F88" i="3"/>
  <c r="F70" i="3" s="1"/>
  <c r="J87" i="3"/>
  <c r="G87" i="3"/>
  <c r="F87" i="3"/>
  <c r="F69" i="3" s="1"/>
  <c r="H86" i="3"/>
  <c r="G86" i="3"/>
  <c r="G68" i="3" s="1"/>
  <c r="F86" i="3"/>
  <c r="F68" i="3" s="1"/>
  <c r="H85" i="3"/>
  <c r="G85" i="3"/>
  <c r="G67" i="3" s="1"/>
  <c r="F85" i="3"/>
  <c r="F67" i="3" s="1"/>
  <c r="J81" i="3"/>
  <c r="G81" i="3"/>
  <c r="M81" i="3" s="1"/>
  <c r="M80" i="3"/>
  <c r="K80" i="3"/>
  <c r="I80" i="3"/>
  <c r="F78" i="3"/>
  <c r="M75" i="3"/>
  <c r="O75" i="3" s="1"/>
  <c r="K75" i="3"/>
  <c r="I75" i="3"/>
  <c r="M74" i="3"/>
  <c r="O74" i="3" s="1"/>
  <c r="K74" i="3"/>
  <c r="I74" i="3"/>
  <c r="J72" i="3"/>
  <c r="H72" i="3"/>
  <c r="G72" i="3"/>
  <c r="F72" i="3"/>
  <c r="L69" i="3"/>
  <c r="L68" i="3"/>
  <c r="L67" i="3"/>
  <c r="L65" i="3"/>
  <c r="L14" i="3" s="1"/>
  <c r="L64" i="3"/>
  <c r="L13" i="3" s="1"/>
  <c r="E59" i="3"/>
  <c r="D59" i="3"/>
  <c r="C59" i="3"/>
  <c r="E58" i="3"/>
  <c r="D58" i="3"/>
  <c r="C58" i="3"/>
  <c r="O55" i="3"/>
  <c r="K55" i="3"/>
  <c r="I55" i="3"/>
  <c r="L54" i="3"/>
  <c r="O54" i="3" s="1"/>
  <c r="K54" i="3"/>
  <c r="I54" i="3"/>
  <c r="O53" i="3"/>
  <c r="I53" i="3"/>
  <c r="N52" i="3"/>
  <c r="M52" i="3"/>
  <c r="J52" i="3"/>
  <c r="H52" i="3"/>
  <c r="G52" i="3"/>
  <c r="F52" i="3"/>
  <c r="E52" i="3"/>
  <c r="D52" i="3"/>
  <c r="C52" i="3"/>
  <c r="O51" i="3"/>
  <c r="E51" i="3"/>
  <c r="D51" i="3"/>
  <c r="D46" i="3" s="1"/>
  <c r="C51" i="3"/>
  <c r="C46" i="3" s="1"/>
  <c r="O50" i="3"/>
  <c r="O49" i="3"/>
  <c r="L48" i="3"/>
  <c r="O48" i="3" s="1"/>
  <c r="K48" i="3"/>
  <c r="H48" i="3"/>
  <c r="I48" i="3" s="1"/>
  <c r="O47" i="3"/>
  <c r="J46" i="3"/>
  <c r="G46" i="3"/>
  <c r="F46" i="3"/>
  <c r="E46" i="3"/>
  <c r="L43" i="3"/>
  <c r="L42" i="3"/>
  <c r="G42" i="3"/>
  <c r="G40" i="3" s="1"/>
  <c r="F42" i="3"/>
  <c r="F40" i="3" s="1"/>
  <c r="E41" i="3"/>
  <c r="E40" i="3" s="1"/>
  <c r="D41" i="3"/>
  <c r="D40" i="3" s="1"/>
  <c r="C41" i="3"/>
  <c r="C40" i="3" s="1"/>
  <c r="E39" i="3"/>
  <c r="D39" i="3"/>
  <c r="C39" i="3"/>
  <c r="E38" i="3"/>
  <c r="D38" i="3"/>
  <c r="C38" i="3"/>
  <c r="L37" i="3"/>
  <c r="K37" i="3"/>
  <c r="I37" i="3"/>
  <c r="L36" i="3"/>
  <c r="K36" i="3"/>
  <c r="I36" i="3"/>
  <c r="K35" i="3"/>
  <c r="I35" i="3"/>
  <c r="E35" i="3"/>
  <c r="E34" i="3" s="1"/>
  <c r="D35" i="3"/>
  <c r="D34" i="3" s="1"/>
  <c r="C35" i="3"/>
  <c r="C34" i="3" s="1"/>
  <c r="O34" i="3"/>
  <c r="N34" i="3"/>
  <c r="M34" i="3"/>
  <c r="J34" i="3"/>
  <c r="H34" i="3"/>
  <c r="G34" i="3"/>
  <c r="F34" i="3"/>
  <c r="E33" i="3"/>
  <c r="D33" i="3"/>
  <c r="C33" i="3"/>
  <c r="E32" i="3"/>
  <c r="D32" i="3"/>
  <c r="C32" i="3"/>
  <c r="L30" i="3"/>
  <c r="O30" i="3" s="1"/>
  <c r="K30" i="3"/>
  <c r="I30" i="3"/>
  <c r="L29" i="3"/>
  <c r="O29" i="3" s="1"/>
  <c r="K29" i="3"/>
  <c r="I29" i="3"/>
  <c r="E28" i="3"/>
  <c r="E27" i="3" s="1"/>
  <c r="D28" i="3"/>
  <c r="D27" i="3" s="1"/>
  <c r="C28" i="3"/>
  <c r="C27" i="3" s="1"/>
  <c r="N27" i="3"/>
  <c r="M27" i="3"/>
  <c r="J27" i="3"/>
  <c r="H27" i="3"/>
  <c r="G27" i="3"/>
  <c r="F27" i="3"/>
  <c r="E25" i="3"/>
  <c r="D25" i="3"/>
  <c r="C25" i="3"/>
  <c r="K24" i="3"/>
  <c r="I24" i="3"/>
  <c r="E24" i="3"/>
  <c r="E21" i="3" s="1"/>
  <c r="D24" i="3"/>
  <c r="D21" i="3" s="1"/>
  <c r="C24" i="3"/>
  <c r="C21" i="3" s="1"/>
  <c r="L23" i="3"/>
  <c r="O23" i="3" s="1"/>
  <c r="O21" i="3" s="1"/>
  <c r="K23" i="3"/>
  <c r="I23" i="3"/>
  <c r="N21" i="3"/>
  <c r="M21" i="3"/>
  <c r="J21" i="3"/>
  <c r="H21" i="3"/>
  <c r="G21" i="3"/>
  <c r="F21" i="3"/>
  <c r="E20" i="3"/>
  <c r="E15" i="3" s="1"/>
  <c r="D20" i="3"/>
  <c r="D15" i="3" s="1"/>
  <c r="C20" i="3"/>
  <c r="C15" i="3" s="1"/>
  <c r="O17" i="3"/>
  <c r="O15" i="3" s="1"/>
  <c r="K17" i="3"/>
  <c r="I17" i="3"/>
  <c r="N15" i="3"/>
  <c r="M15" i="3"/>
  <c r="L15" i="3"/>
  <c r="J15" i="3"/>
  <c r="H15" i="3"/>
  <c r="G15" i="3"/>
  <c r="F15" i="3"/>
  <c r="N14" i="3"/>
  <c r="M14" i="3"/>
  <c r="J14" i="3"/>
  <c r="E14" i="3"/>
  <c r="D14" i="3"/>
  <c r="C14" i="3"/>
  <c r="E13" i="3"/>
  <c r="D13" i="3"/>
  <c r="C13" i="3"/>
  <c r="E12" i="3"/>
  <c r="D12" i="3"/>
  <c r="C12" i="3"/>
  <c r="E10" i="3"/>
  <c r="D10" i="3"/>
  <c r="C10" i="3"/>
  <c r="H90" i="3" l="1"/>
  <c r="G61" i="3"/>
  <c r="G10" i="3" s="1"/>
  <c r="K10" i="3" s="1"/>
  <c r="M120" i="3"/>
  <c r="N120" i="3" s="1"/>
  <c r="M105" i="3"/>
  <c r="N105" i="3" s="1"/>
  <c r="H87" i="3"/>
  <c r="I87" i="3" s="1"/>
  <c r="M108" i="3"/>
  <c r="L138" i="3"/>
  <c r="E11" i="3"/>
  <c r="E9" i="3" s="1"/>
  <c r="J69" i="3"/>
  <c r="J63" i="3" s="1"/>
  <c r="J12" i="3" s="1"/>
  <c r="L21" i="3"/>
  <c r="F65" i="3"/>
  <c r="F14" i="3" s="1"/>
  <c r="G138" i="3"/>
  <c r="O172" i="3"/>
  <c r="L27" i="3"/>
  <c r="G64" i="3"/>
  <c r="O171" i="3"/>
  <c r="I172" i="3"/>
  <c r="J138" i="3"/>
  <c r="L61" i="3"/>
  <c r="L10" i="3" s="1"/>
  <c r="H65" i="3"/>
  <c r="H14" i="3" s="1"/>
  <c r="O14" i="3"/>
  <c r="L62" i="3"/>
  <c r="L11" i="3" s="1"/>
  <c r="C11" i="3"/>
  <c r="C9" i="3" s="1"/>
  <c r="L63" i="3"/>
  <c r="L12" i="3" s="1"/>
  <c r="F61" i="3"/>
  <c r="F10" i="3" s="1"/>
  <c r="M86" i="3"/>
  <c r="O86" i="3" s="1"/>
  <c r="G13" i="3"/>
  <c r="G65" i="3"/>
  <c r="G14" i="3" s="1"/>
  <c r="K14" i="3" s="1"/>
  <c r="H104" i="3"/>
  <c r="I104" i="3" s="1"/>
  <c r="L34" i="3"/>
  <c r="H46" i="3"/>
  <c r="I46" i="3" s="1"/>
  <c r="L52" i="3"/>
  <c r="L40" i="3"/>
  <c r="J78" i="3"/>
  <c r="J86" i="3"/>
  <c r="J84" i="3" s="1"/>
  <c r="N75" i="3"/>
  <c r="G62" i="3"/>
  <c r="G11" i="3" s="1"/>
  <c r="F63" i="3"/>
  <c r="F12" i="3" s="1"/>
  <c r="F102" i="3"/>
  <c r="K96" i="3"/>
  <c r="N132" i="3"/>
  <c r="I88" i="3"/>
  <c r="K92" i="3"/>
  <c r="N92" i="3"/>
  <c r="N99" i="3"/>
  <c r="I34" i="3"/>
  <c r="L102" i="3"/>
  <c r="K132" i="3"/>
  <c r="K34" i="3"/>
  <c r="F62" i="3"/>
  <c r="F11" i="3" s="1"/>
  <c r="I114" i="3"/>
  <c r="F66" i="3"/>
  <c r="L46" i="3"/>
  <c r="K52" i="3"/>
  <c r="L66" i="3"/>
  <c r="H81" i="3"/>
  <c r="I90" i="3"/>
  <c r="K114" i="3"/>
  <c r="H126" i="3"/>
  <c r="I126" i="3" s="1"/>
  <c r="I141" i="3"/>
  <c r="I162" i="3"/>
  <c r="G169" i="3"/>
  <c r="O169" i="3" s="1"/>
  <c r="D11" i="3"/>
  <c r="D9" i="3" s="1"/>
  <c r="K46" i="3"/>
  <c r="G69" i="3"/>
  <c r="G66" i="3" s="1"/>
  <c r="G78" i="3"/>
  <c r="L176" i="3"/>
  <c r="O52" i="3"/>
  <c r="H70" i="3"/>
  <c r="M103" i="3"/>
  <c r="M61" i="3" s="1"/>
  <c r="M10" i="3" s="1"/>
  <c r="K104" i="3"/>
  <c r="O138" i="3"/>
  <c r="K70" i="3"/>
  <c r="J64" i="3"/>
  <c r="I15" i="3"/>
  <c r="K21" i="3"/>
  <c r="I27" i="3"/>
  <c r="I52" i="3"/>
  <c r="F64" i="3"/>
  <c r="F13" i="3" s="1"/>
  <c r="K72" i="3"/>
  <c r="F84" i="3"/>
  <c r="M87" i="3"/>
  <c r="M69" i="3" s="1"/>
  <c r="M90" i="3"/>
  <c r="O90" i="3" s="1"/>
  <c r="K103" i="3"/>
  <c r="M104" i="3"/>
  <c r="O104" i="3" s="1"/>
  <c r="K105" i="3"/>
  <c r="K108" i="3"/>
  <c r="K120" i="3"/>
  <c r="M126" i="3"/>
  <c r="O126" i="3" s="1"/>
  <c r="K144" i="3"/>
  <c r="K15" i="3"/>
  <c r="I21" i="3"/>
  <c r="K27" i="3"/>
  <c r="H67" i="3"/>
  <c r="H68" i="3"/>
  <c r="I72" i="3"/>
  <c r="G84" i="3"/>
  <c r="N98" i="3"/>
  <c r="J102" i="3"/>
  <c r="I132" i="3"/>
  <c r="O132" i="3"/>
  <c r="O144" i="3"/>
  <c r="K162" i="3"/>
  <c r="H169" i="3"/>
  <c r="M72" i="3"/>
  <c r="O72" i="3" s="1"/>
  <c r="K87" i="3"/>
  <c r="K88" i="3"/>
  <c r="M88" i="3"/>
  <c r="K90" i="3"/>
  <c r="N93" i="3"/>
  <c r="G102" i="3"/>
  <c r="I103" i="3"/>
  <c r="I105" i="3"/>
  <c r="I108" i="3"/>
  <c r="O114" i="3"/>
  <c r="M114" i="3"/>
  <c r="N114" i="3" s="1"/>
  <c r="K126" i="3"/>
  <c r="H138" i="3"/>
  <c r="I144" i="3"/>
  <c r="O162" i="3"/>
  <c r="M78" i="3"/>
  <c r="O176" i="3"/>
  <c r="O81" i="3"/>
  <c r="O27" i="3"/>
  <c r="N80" i="3"/>
  <c r="N81" i="3"/>
  <c r="N94" i="3"/>
  <c r="H96" i="3"/>
  <c r="I96" i="3" s="1"/>
  <c r="M96" i="3"/>
  <c r="O96" i="3" s="1"/>
  <c r="I120" i="3"/>
  <c r="O128" i="3"/>
  <c r="I171" i="3"/>
  <c r="K172" i="3"/>
  <c r="N74" i="3"/>
  <c r="O80" i="3"/>
  <c r="I86" i="3"/>
  <c r="N127" i="3"/>
  <c r="N133" i="3"/>
  <c r="K141" i="3"/>
  <c r="K171" i="3"/>
  <c r="K81" i="3"/>
  <c r="Q114" i="3"/>
  <c r="O133" i="3"/>
  <c r="K61" i="3" l="1"/>
  <c r="N86" i="3"/>
  <c r="N68" i="3" s="1"/>
  <c r="M68" i="3"/>
  <c r="O68" i="3" s="1"/>
  <c r="H102" i="3"/>
  <c r="I102" i="3" s="1"/>
  <c r="H84" i="3"/>
  <c r="H69" i="3"/>
  <c r="I69" i="3" s="1"/>
  <c r="O105" i="3"/>
  <c r="K86" i="3"/>
  <c r="I138" i="3"/>
  <c r="K138" i="3"/>
  <c r="K78" i="3"/>
  <c r="O61" i="3"/>
  <c r="O10" i="3" s="1"/>
  <c r="K84" i="3"/>
  <c r="J68" i="3"/>
  <c r="K68" i="3" s="1"/>
  <c r="I14" i="3"/>
  <c r="L60" i="3"/>
  <c r="K169" i="3"/>
  <c r="M102" i="3"/>
  <c r="O102" i="3" s="1"/>
  <c r="O103" i="3"/>
  <c r="K69" i="3"/>
  <c r="F9" i="3"/>
  <c r="F60" i="3"/>
  <c r="N126" i="3"/>
  <c r="N72" i="3"/>
  <c r="N103" i="3"/>
  <c r="N61" i="3" s="1"/>
  <c r="N10" i="3" s="1"/>
  <c r="N96" i="3"/>
  <c r="I169" i="3"/>
  <c r="G63" i="3"/>
  <c r="G60" i="3" s="1"/>
  <c r="I70" i="3"/>
  <c r="H64" i="3"/>
  <c r="L9" i="3"/>
  <c r="I81" i="3"/>
  <c r="H78" i="3"/>
  <c r="I78" i="3" s="1"/>
  <c r="Q9" i="3"/>
  <c r="K102" i="3"/>
  <c r="N104" i="3"/>
  <c r="N87" i="3"/>
  <c r="N69" i="3" s="1"/>
  <c r="N63" i="3" s="1"/>
  <c r="N12" i="3" s="1"/>
  <c r="M84" i="3"/>
  <c r="O87" i="3"/>
  <c r="N90" i="3"/>
  <c r="O88" i="3"/>
  <c r="M70" i="3"/>
  <c r="N88" i="3"/>
  <c r="N70" i="3" s="1"/>
  <c r="N64" i="3" s="1"/>
  <c r="N13" i="3" s="1"/>
  <c r="I68" i="3"/>
  <c r="H62" i="3"/>
  <c r="K64" i="3"/>
  <c r="J13" i="3"/>
  <c r="K13" i="3" s="1"/>
  <c r="H61" i="3"/>
  <c r="I84" i="3"/>
  <c r="N78" i="3"/>
  <c r="O78" i="3"/>
  <c r="M63" i="3"/>
  <c r="O69" i="3"/>
  <c r="H66" i="3" l="1"/>
  <c r="I66" i="3" s="1"/>
  <c r="M66" i="3"/>
  <c r="N66" i="3" s="1"/>
  <c r="H63" i="3"/>
  <c r="I63" i="3" s="1"/>
  <c r="M62" i="3"/>
  <c r="M11" i="3" s="1"/>
  <c r="J66" i="3"/>
  <c r="K66" i="3" s="1"/>
  <c r="J62" i="3"/>
  <c r="K62" i="3" s="1"/>
  <c r="N102" i="3"/>
  <c r="N62" i="3"/>
  <c r="N60" i="3" s="1"/>
  <c r="G12" i="3"/>
  <c r="K63" i="3"/>
  <c r="I64" i="3"/>
  <c r="H13" i="3"/>
  <c r="I13" i="3" s="1"/>
  <c r="I61" i="3"/>
  <c r="H10" i="3"/>
  <c r="I62" i="3"/>
  <c r="H11" i="3"/>
  <c r="I11" i="3" s="1"/>
  <c r="O70" i="3"/>
  <c r="M64" i="3"/>
  <c r="N84" i="3"/>
  <c r="O84" i="3"/>
  <c r="M12" i="3"/>
  <c r="O63" i="3"/>
  <c r="O12" i="3" s="1"/>
  <c r="L67" i="1"/>
  <c r="L66" i="1"/>
  <c r="L70" i="1"/>
  <c r="L69" i="1"/>
  <c r="L107" i="1"/>
  <c r="L106" i="1"/>
  <c r="L105" i="1"/>
  <c r="L122" i="1"/>
  <c r="O66" i="3" l="1"/>
  <c r="O62" i="3"/>
  <c r="O11" i="3" s="1"/>
  <c r="H60" i="3"/>
  <c r="I60" i="3" s="1"/>
  <c r="H12" i="3"/>
  <c r="I12" i="3" s="1"/>
  <c r="J60" i="3"/>
  <c r="K60" i="3" s="1"/>
  <c r="J11" i="3"/>
  <c r="K11" i="3" s="1"/>
  <c r="N11" i="3"/>
  <c r="N9" i="3" s="1"/>
  <c r="G9" i="3"/>
  <c r="K12" i="3"/>
  <c r="O64" i="3"/>
  <c r="O13" i="3" s="1"/>
  <c r="O9" i="3" s="1"/>
  <c r="M13" i="3"/>
  <c r="M9" i="3" s="1"/>
  <c r="M60" i="3"/>
  <c r="O60" i="3" s="1"/>
  <c r="I10" i="3"/>
  <c r="L104" i="1"/>
  <c r="L64" i="1"/>
  <c r="L65" i="1"/>
  <c r="L63" i="1"/>
  <c r="L68" i="1"/>
  <c r="O56" i="1"/>
  <c r="J80" i="1"/>
  <c r="H9" i="3" l="1"/>
  <c r="I9" i="3" s="1"/>
  <c r="J9" i="3"/>
  <c r="K9" i="3" s="1"/>
  <c r="L62" i="1"/>
  <c r="K152" i="1"/>
  <c r="I152" i="1"/>
  <c r="O177" i="1" l="1"/>
  <c r="K176" i="1"/>
  <c r="O39" i="1"/>
  <c r="M180" i="1" l="1"/>
  <c r="N180" i="1"/>
  <c r="J180" i="1"/>
  <c r="L180" i="1" l="1"/>
  <c r="G54" i="1"/>
  <c r="N14" i="1" l="1"/>
  <c r="M14" i="1"/>
  <c r="L14" i="1"/>
  <c r="J14" i="1"/>
  <c r="H180" i="1"/>
  <c r="G180" i="1"/>
  <c r="F180" i="1"/>
  <c r="O45" i="1"/>
  <c r="O143" i="1"/>
  <c r="L42" i="1" l="1"/>
  <c r="O44" i="1"/>
  <c r="L110" i="1"/>
  <c r="M36" i="1"/>
  <c r="N36" i="1"/>
  <c r="O36" i="1"/>
  <c r="J36" i="1"/>
  <c r="G36" i="1"/>
  <c r="H36" i="1"/>
  <c r="F36" i="1"/>
  <c r="K39" i="1"/>
  <c r="I39" i="1"/>
  <c r="L36" i="1"/>
  <c r="K38" i="1"/>
  <c r="I38" i="1"/>
  <c r="K170" i="1"/>
  <c r="I170" i="1"/>
  <c r="I37" i="1"/>
  <c r="L116" i="1"/>
  <c r="K50" i="1"/>
  <c r="J48" i="1"/>
  <c r="G48" i="1"/>
  <c r="O48" i="1" s="1"/>
  <c r="F48" i="1"/>
  <c r="I176" i="1"/>
  <c r="I50" i="1"/>
  <c r="O49" i="1"/>
  <c r="O183" i="1"/>
  <c r="O182" i="1"/>
  <c r="I183" i="1"/>
  <c r="I182" i="1"/>
  <c r="K183" i="1"/>
  <c r="K182" i="1"/>
  <c r="O185" i="1"/>
  <c r="O184" i="1"/>
  <c r="O181" i="1"/>
  <c r="O180" i="1" l="1"/>
  <c r="H48" i="1"/>
  <c r="I48" i="1" s="1"/>
  <c r="G42" i="1"/>
  <c r="O42" i="1" s="1"/>
  <c r="F42" i="1"/>
  <c r="I36" i="1"/>
  <c r="K36" i="1"/>
  <c r="K48" i="1"/>
  <c r="M21" i="1" l="1"/>
  <c r="N21" i="1"/>
  <c r="J21" i="1"/>
  <c r="G21" i="1"/>
  <c r="H21" i="1"/>
  <c r="F21" i="1"/>
  <c r="K25" i="1"/>
  <c r="K24" i="1"/>
  <c r="I25" i="1"/>
  <c r="K146" i="1"/>
  <c r="I146" i="1"/>
  <c r="H144" i="1"/>
  <c r="F140" i="1"/>
  <c r="O146" i="1"/>
  <c r="O14" i="1" s="1"/>
  <c r="O145" i="1"/>
  <c r="O142" i="1"/>
  <c r="L140" i="1"/>
  <c r="L54" i="1"/>
  <c r="I151" i="1"/>
  <c r="I150" i="1"/>
  <c r="K151" i="1"/>
  <c r="K150" i="1"/>
  <c r="K149" i="1"/>
  <c r="N147" i="1"/>
  <c r="M147" i="1"/>
  <c r="L147" i="1"/>
  <c r="J147" i="1"/>
  <c r="H147" i="1"/>
  <c r="G147" i="1"/>
  <c r="F147" i="1"/>
  <c r="I24" i="1"/>
  <c r="K143" i="1" l="1"/>
  <c r="J140" i="1"/>
  <c r="K147" i="1"/>
  <c r="K144" i="1"/>
  <c r="O144" i="1"/>
  <c r="O140" i="1" s="1"/>
  <c r="G140" i="1"/>
  <c r="K21" i="1"/>
  <c r="O24" i="1"/>
  <c r="O21" i="1" s="1"/>
  <c r="I144" i="1"/>
  <c r="I21" i="1"/>
  <c r="L21" i="1"/>
  <c r="I147" i="1"/>
  <c r="L28" i="1"/>
  <c r="H28" i="1"/>
  <c r="G28" i="1"/>
  <c r="J28" i="1"/>
  <c r="M28" i="1"/>
  <c r="N28" i="1"/>
  <c r="F28" i="1"/>
  <c r="I32" i="1"/>
  <c r="I31" i="1"/>
  <c r="K32" i="1"/>
  <c r="O31" i="1"/>
  <c r="K31" i="1"/>
  <c r="K140" i="1" l="1"/>
  <c r="O28" i="1"/>
  <c r="K28" i="1"/>
  <c r="I28" i="1"/>
  <c r="O169" i="1" l="1"/>
  <c r="G166" i="1"/>
  <c r="H166" i="1"/>
  <c r="L166" i="1"/>
  <c r="M166" i="1"/>
  <c r="N166" i="1"/>
  <c r="F166" i="1"/>
  <c r="K169" i="1"/>
  <c r="K168" i="1"/>
  <c r="I168" i="1"/>
  <c r="I169" i="1"/>
  <c r="J54" i="1"/>
  <c r="E29" i="2"/>
  <c r="F29" i="2"/>
  <c r="G29" i="2"/>
  <c r="H29" i="2"/>
  <c r="K166" i="1" l="1"/>
  <c r="I166" i="1"/>
  <c r="I29" i="2"/>
  <c r="J29" i="2"/>
  <c r="O166" i="1"/>
  <c r="O174" i="1"/>
  <c r="G173" i="1"/>
  <c r="H173" i="1"/>
  <c r="J173" i="1"/>
  <c r="L173" i="1"/>
  <c r="M173" i="1"/>
  <c r="N173" i="1"/>
  <c r="F173" i="1"/>
  <c r="K175" i="1"/>
  <c r="I175" i="1"/>
  <c r="I143" i="1" l="1"/>
  <c r="H140" i="1"/>
  <c r="I140" i="1" s="1"/>
  <c r="K173" i="1"/>
  <c r="I173" i="1"/>
  <c r="O173" i="1"/>
  <c r="K77" i="1"/>
  <c r="M135" i="1"/>
  <c r="N135" i="1" s="1"/>
  <c r="K135" i="1"/>
  <c r="I135" i="1"/>
  <c r="J134" i="1"/>
  <c r="H134" i="1"/>
  <c r="G134" i="1"/>
  <c r="F134" i="1"/>
  <c r="M130" i="1"/>
  <c r="K130" i="1"/>
  <c r="H130" i="1"/>
  <c r="H106" i="1" s="1"/>
  <c r="H64" i="1" s="1"/>
  <c r="M129" i="1"/>
  <c r="K129" i="1"/>
  <c r="H129" i="1"/>
  <c r="H105" i="1" s="1"/>
  <c r="G128" i="1"/>
  <c r="F128" i="1"/>
  <c r="M123" i="1"/>
  <c r="N123" i="1" s="1"/>
  <c r="K123" i="1"/>
  <c r="I123" i="1"/>
  <c r="J122" i="1"/>
  <c r="H122" i="1"/>
  <c r="G122" i="1"/>
  <c r="F122" i="1"/>
  <c r="M118" i="1"/>
  <c r="K118" i="1"/>
  <c r="I118" i="1"/>
  <c r="J116" i="1"/>
  <c r="H116" i="1"/>
  <c r="G116" i="1"/>
  <c r="F116" i="1"/>
  <c r="N115" i="1"/>
  <c r="N114" i="1"/>
  <c r="M113" i="1"/>
  <c r="K113" i="1"/>
  <c r="I113" i="1"/>
  <c r="M112" i="1"/>
  <c r="K112" i="1"/>
  <c r="I112" i="1"/>
  <c r="M111" i="1"/>
  <c r="K111" i="1"/>
  <c r="I111" i="1"/>
  <c r="J110" i="1"/>
  <c r="H110" i="1"/>
  <c r="G110" i="1"/>
  <c r="F110" i="1"/>
  <c r="H109" i="1"/>
  <c r="G109" i="1"/>
  <c r="F109" i="1"/>
  <c r="H108" i="1"/>
  <c r="G108" i="1"/>
  <c r="F108" i="1"/>
  <c r="J107" i="1"/>
  <c r="H107" i="1"/>
  <c r="G107" i="1"/>
  <c r="O107" i="1" s="1"/>
  <c r="F107" i="1"/>
  <c r="J106" i="1"/>
  <c r="G106" i="1"/>
  <c r="O106" i="1" s="1"/>
  <c r="F106" i="1"/>
  <c r="J105" i="1"/>
  <c r="G105" i="1"/>
  <c r="O105" i="1" s="1"/>
  <c r="F105" i="1"/>
  <c r="M101" i="1"/>
  <c r="K101" i="1"/>
  <c r="M100" i="1"/>
  <c r="K100" i="1"/>
  <c r="I100" i="1"/>
  <c r="J98" i="1"/>
  <c r="G98" i="1"/>
  <c r="F98" i="1"/>
  <c r="M96" i="1"/>
  <c r="N96" i="1" s="1"/>
  <c r="K96" i="1"/>
  <c r="I96" i="1"/>
  <c r="M95" i="1"/>
  <c r="K95" i="1"/>
  <c r="M94" i="1"/>
  <c r="K94" i="1"/>
  <c r="I94" i="1"/>
  <c r="G92" i="1"/>
  <c r="F92" i="1"/>
  <c r="H91" i="1"/>
  <c r="H73" i="1" s="1"/>
  <c r="G91" i="1"/>
  <c r="G73" i="1" s="1"/>
  <c r="F91" i="1"/>
  <c r="F73" i="1" s="1"/>
  <c r="J90" i="1"/>
  <c r="J72" i="1" s="1"/>
  <c r="H90" i="1"/>
  <c r="H72" i="1" s="1"/>
  <c r="G90" i="1"/>
  <c r="F90" i="1"/>
  <c r="F72" i="1" s="1"/>
  <c r="J89" i="1"/>
  <c r="J71" i="1" s="1"/>
  <c r="G89" i="1"/>
  <c r="O89" i="1" s="1"/>
  <c r="F89" i="1"/>
  <c r="F71" i="1" s="1"/>
  <c r="G88" i="1"/>
  <c r="F88" i="1"/>
  <c r="F70" i="1" s="1"/>
  <c r="H87" i="1"/>
  <c r="H69" i="1" s="1"/>
  <c r="G87" i="1"/>
  <c r="F87" i="1"/>
  <c r="F69" i="1" s="1"/>
  <c r="M82" i="1"/>
  <c r="K82" i="1"/>
  <c r="I82" i="1"/>
  <c r="F80" i="1"/>
  <c r="M77" i="1"/>
  <c r="N77" i="1" s="1"/>
  <c r="M76" i="1"/>
  <c r="K76" i="1"/>
  <c r="I76" i="1"/>
  <c r="J74" i="1"/>
  <c r="H74" i="1"/>
  <c r="G74" i="1"/>
  <c r="F74" i="1"/>
  <c r="H104" i="1" l="1"/>
  <c r="O104" i="1"/>
  <c r="G70" i="1"/>
  <c r="O70" i="1" s="1"/>
  <c r="O64" i="1" s="1"/>
  <c r="O88" i="1"/>
  <c r="K83" i="1"/>
  <c r="O80" i="1"/>
  <c r="G69" i="1"/>
  <c r="O87" i="1"/>
  <c r="G72" i="1"/>
  <c r="I72" i="1" s="1"/>
  <c r="O90" i="1"/>
  <c r="F64" i="1"/>
  <c r="F11" i="1" s="1"/>
  <c r="F66" i="1"/>
  <c r="F13" i="1" s="1"/>
  <c r="M134" i="1"/>
  <c r="G67" i="1"/>
  <c r="G14" i="1" s="1"/>
  <c r="K14" i="1" s="1"/>
  <c r="H66" i="1"/>
  <c r="H13" i="1" s="1"/>
  <c r="J65" i="1"/>
  <c r="J12" i="1" s="1"/>
  <c r="F65" i="1"/>
  <c r="F12" i="1" s="1"/>
  <c r="J70" i="1"/>
  <c r="I110" i="1"/>
  <c r="M110" i="1"/>
  <c r="M105" i="1"/>
  <c r="M88" i="1"/>
  <c r="M70" i="1" s="1"/>
  <c r="F104" i="1"/>
  <c r="I122" i="1"/>
  <c r="M90" i="1"/>
  <c r="M72" i="1" s="1"/>
  <c r="M66" i="1" s="1"/>
  <c r="M13" i="1" s="1"/>
  <c r="M89" i="1"/>
  <c r="N89" i="1" s="1"/>
  <c r="M98" i="1"/>
  <c r="I105" i="1"/>
  <c r="J66" i="1"/>
  <c r="J13" i="1" s="1"/>
  <c r="J92" i="1"/>
  <c r="K92" i="1" s="1"/>
  <c r="G80" i="1"/>
  <c r="K80" i="1" s="1"/>
  <c r="I83" i="1"/>
  <c r="H67" i="1"/>
  <c r="H14" i="1" s="1"/>
  <c r="K107" i="1"/>
  <c r="I88" i="1"/>
  <c r="M92" i="1"/>
  <c r="N92" i="1" s="1"/>
  <c r="J104" i="1"/>
  <c r="H63" i="1"/>
  <c r="F68" i="1"/>
  <c r="H92" i="1"/>
  <c r="I92" i="1" s="1"/>
  <c r="M106" i="1"/>
  <c r="N106" i="1" s="1"/>
  <c r="M116" i="1"/>
  <c r="F67" i="1"/>
  <c r="F14" i="1" s="1"/>
  <c r="J63" i="1"/>
  <c r="I90" i="1"/>
  <c r="M107" i="1"/>
  <c r="H80" i="1"/>
  <c r="G86" i="1"/>
  <c r="G71" i="1"/>
  <c r="I74" i="1"/>
  <c r="F86" i="1"/>
  <c r="H89" i="1"/>
  <c r="H71" i="1" s="1"/>
  <c r="H98" i="1"/>
  <c r="I98" i="1" s="1"/>
  <c r="G104" i="1"/>
  <c r="H128" i="1"/>
  <c r="I128" i="1" s="1"/>
  <c r="I134" i="1"/>
  <c r="N111" i="1"/>
  <c r="K98" i="1"/>
  <c r="K106" i="1"/>
  <c r="I107" i="1"/>
  <c r="F63" i="1"/>
  <c r="F10" i="1" s="1"/>
  <c r="M74" i="1"/>
  <c r="K90" i="1"/>
  <c r="K110" i="1"/>
  <c r="M128" i="1"/>
  <c r="K105" i="1"/>
  <c r="I116" i="1"/>
  <c r="M122" i="1"/>
  <c r="I129" i="1"/>
  <c r="N129" i="1"/>
  <c r="I130" i="1"/>
  <c r="N130" i="1"/>
  <c r="N76" i="1"/>
  <c r="M83" i="1"/>
  <c r="N83" i="1" s="1"/>
  <c r="K89" i="1"/>
  <c r="I95" i="1"/>
  <c r="N95" i="1"/>
  <c r="I101" i="1"/>
  <c r="N101" i="1"/>
  <c r="N112" i="1"/>
  <c r="N118" i="1"/>
  <c r="K74" i="1"/>
  <c r="N82" i="1"/>
  <c r="N94" i="1"/>
  <c r="N100" i="1"/>
  <c r="N113" i="1"/>
  <c r="K116" i="1"/>
  <c r="K122" i="1"/>
  <c r="K128" i="1"/>
  <c r="K134" i="1"/>
  <c r="O71" i="1" l="1"/>
  <c r="O65" i="1" s="1"/>
  <c r="G64" i="1"/>
  <c r="G11" i="1" s="1"/>
  <c r="K70" i="1"/>
  <c r="O86" i="1"/>
  <c r="G66" i="1"/>
  <c r="G13" i="1" s="1"/>
  <c r="K13" i="1" s="1"/>
  <c r="K72" i="1"/>
  <c r="G63" i="1"/>
  <c r="G10" i="1" s="1"/>
  <c r="O69" i="1"/>
  <c r="O63" i="1" s="1"/>
  <c r="N105" i="1"/>
  <c r="N63" i="1" s="1"/>
  <c r="N10" i="1" s="1"/>
  <c r="N134" i="1"/>
  <c r="F9" i="1"/>
  <c r="I80" i="1"/>
  <c r="I14" i="1"/>
  <c r="M63" i="1"/>
  <c r="M10" i="1" s="1"/>
  <c r="N98" i="1"/>
  <c r="I106" i="1"/>
  <c r="J86" i="1"/>
  <c r="K86" i="1" s="1"/>
  <c r="M86" i="1"/>
  <c r="N86" i="1" s="1"/>
  <c r="N90" i="1"/>
  <c r="N72" i="1" s="1"/>
  <c r="N66" i="1" s="1"/>
  <c r="N13" i="1" s="1"/>
  <c r="J64" i="1"/>
  <c r="J11" i="1" s="1"/>
  <c r="K88" i="1"/>
  <c r="L13" i="1"/>
  <c r="J68" i="1"/>
  <c r="N88" i="1"/>
  <c r="N70" i="1" s="1"/>
  <c r="N64" i="1" s="1"/>
  <c r="N11" i="1" s="1"/>
  <c r="J10" i="1"/>
  <c r="H10" i="1"/>
  <c r="N110" i="1"/>
  <c r="F62" i="1"/>
  <c r="K104" i="1"/>
  <c r="N116" i="1"/>
  <c r="I104" i="1"/>
  <c r="L10" i="1"/>
  <c r="N71" i="1"/>
  <c r="N107" i="1"/>
  <c r="M64" i="1"/>
  <c r="O13" i="1"/>
  <c r="I71" i="1"/>
  <c r="H65" i="1"/>
  <c r="H12" i="1" s="1"/>
  <c r="K71" i="1"/>
  <c r="G65" i="1"/>
  <c r="I70" i="1"/>
  <c r="I89" i="1"/>
  <c r="H86" i="1"/>
  <c r="I86" i="1" s="1"/>
  <c r="G68" i="1"/>
  <c r="H68" i="1"/>
  <c r="N128" i="1"/>
  <c r="M104" i="1"/>
  <c r="N74" i="1"/>
  <c r="N122" i="1"/>
  <c r="M71" i="1"/>
  <c r="M80" i="1"/>
  <c r="O62" i="1" l="1"/>
  <c r="I66" i="1"/>
  <c r="K11" i="1"/>
  <c r="I64" i="1"/>
  <c r="K66" i="1"/>
  <c r="I63" i="1"/>
  <c r="I10" i="1"/>
  <c r="K10" i="1"/>
  <c r="K63" i="1"/>
  <c r="K68" i="1"/>
  <c r="I13" i="1"/>
  <c r="J62" i="1"/>
  <c r="K64" i="1"/>
  <c r="J9" i="1"/>
  <c r="K65" i="1"/>
  <c r="G12" i="1"/>
  <c r="M11" i="1"/>
  <c r="L11" i="1"/>
  <c r="H11" i="1"/>
  <c r="N65" i="1"/>
  <c r="G62" i="1"/>
  <c r="I68" i="1"/>
  <c r="N104" i="1"/>
  <c r="H62" i="1"/>
  <c r="L12" i="1"/>
  <c r="I65" i="1"/>
  <c r="M65" i="1"/>
  <c r="M12" i="1" s="1"/>
  <c r="M68" i="1"/>
  <c r="N80" i="1"/>
  <c r="H9" i="1" l="1"/>
  <c r="I11" i="1"/>
  <c r="G9" i="1"/>
  <c r="K9" i="1" s="1"/>
  <c r="K12" i="1"/>
  <c r="I12" i="1"/>
  <c r="K62" i="1"/>
  <c r="L9" i="1"/>
  <c r="N62" i="1"/>
  <c r="N12" i="1"/>
  <c r="N9" i="1" s="1"/>
  <c r="M9" i="1"/>
  <c r="I62" i="1"/>
  <c r="N68" i="1"/>
  <c r="M62" i="1"/>
  <c r="I9" i="1" l="1"/>
  <c r="O57" i="1"/>
  <c r="O12" i="1" s="1"/>
  <c r="O55" i="1"/>
  <c r="K57" i="1"/>
  <c r="K56" i="1"/>
  <c r="I57" i="1"/>
  <c r="I56" i="1"/>
  <c r="I55" i="1"/>
  <c r="N54" i="1"/>
  <c r="M54" i="1"/>
  <c r="H54" i="1"/>
  <c r="F54" i="1"/>
  <c r="K17" i="1"/>
  <c r="N15" i="1"/>
  <c r="M15" i="1"/>
  <c r="L15" i="1"/>
  <c r="J15" i="1"/>
  <c r="G15" i="1"/>
  <c r="H15" i="1"/>
  <c r="F15" i="1"/>
  <c r="O17" i="1"/>
  <c r="I17" i="1"/>
  <c r="O10" i="1" l="1"/>
  <c r="O54" i="1"/>
  <c r="O15" i="1"/>
  <c r="O11" i="1"/>
  <c r="I15" i="1"/>
  <c r="K15" i="1"/>
  <c r="K54" i="1"/>
  <c r="I54" i="1"/>
  <c r="O9" i="1" l="1"/>
  <c r="C10" i="1"/>
  <c r="D10" i="1"/>
  <c r="E10" i="1"/>
  <c r="C20" i="1"/>
  <c r="D20" i="1"/>
  <c r="E20" i="1"/>
  <c r="C13" i="1"/>
  <c r="D13" i="1"/>
  <c r="E13" i="1"/>
  <c r="C14" i="1"/>
  <c r="D14" i="1"/>
  <c r="E14" i="1"/>
  <c r="C25" i="1"/>
  <c r="C21" i="1" s="1"/>
  <c r="D25" i="1"/>
  <c r="D21" i="1" s="1"/>
  <c r="E25" i="1"/>
  <c r="E21" i="1" s="1"/>
  <c r="C26" i="1"/>
  <c r="D26" i="1"/>
  <c r="E26" i="1"/>
  <c r="C30" i="1"/>
  <c r="C28" i="1" s="1"/>
  <c r="D30" i="1"/>
  <c r="D28" i="1" s="1"/>
  <c r="E30" i="1"/>
  <c r="E28" i="1" s="1"/>
  <c r="C34" i="1"/>
  <c r="D34" i="1"/>
  <c r="E34" i="1"/>
  <c r="C35" i="1"/>
  <c r="D35" i="1"/>
  <c r="E35" i="1"/>
  <c r="C37" i="1"/>
  <c r="E37" i="1"/>
  <c r="C40" i="1"/>
  <c r="D40" i="1"/>
  <c r="E40" i="1"/>
  <c r="C41" i="1"/>
  <c r="D41" i="1"/>
  <c r="E41" i="1"/>
  <c r="D43" i="1"/>
  <c r="C43" i="1"/>
  <c r="C54" i="1"/>
  <c r="D54" i="1"/>
  <c r="E54" i="1"/>
  <c r="C60" i="1"/>
  <c r="D60" i="1"/>
  <c r="E60" i="1"/>
  <c r="C61" i="1"/>
  <c r="D61" i="1"/>
  <c r="E61" i="1"/>
  <c r="C140" i="1"/>
  <c r="D140" i="1"/>
  <c r="E140" i="1"/>
  <c r="C169" i="1"/>
  <c r="C166" i="1" s="1"/>
  <c r="D169" i="1"/>
  <c r="D166" i="1" s="1"/>
  <c r="E169" i="1"/>
  <c r="C172" i="1"/>
  <c r="D172" i="1"/>
  <c r="E172" i="1"/>
  <c r="C174" i="1"/>
  <c r="D174" i="1"/>
  <c r="E174" i="1"/>
  <c r="C178" i="1"/>
  <c r="D178" i="1"/>
  <c r="E178" i="1"/>
  <c r="C179" i="1"/>
  <c r="D179" i="1"/>
  <c r="E179" i="1"/>
  <c r="C181" i="1"/>
  <c r="C180" i="1" s="1"/>
  <c r="D181" i="1"/>
  <c r="D180" i="1" s="1"/>
  <c r="E181" i="1"/>
  <c r="E180" i="1" s="1"/>
  <c r="C188" i="1"/>
  <c r="D188" i="1"/>
  <c r="E188" i="1"/>
  <c r="C189" i="1"/>
  <c r="D189" i="1"/>
  <c r="E189" i="1"/>
  <c r="C190" i="1"/>
  <c r="D190" i="1"/>
  <c r="E190" i="1"/>
  <c r="C15" i="1" l="1"/>
  <c r="D48" i="1"/>
  <c r="C173" i="1"/>
  <c r="E173" i="1"/>
  <c r="D173" i="1"/>
  <c r="D15" i="1"/>
  <c r="C11" i="1"/>
  <c r="C9" i="1" s="1"/>
  <c r="C42" i="1"/>
  <c r="C48" i="1"/>
  <c r="C36" i="1"/>
  <c r="E43" i="1"/>
  <c r="D11" i="1"/>
  <c r="D9" i="1" s="1"/>
  <c r="E36" i="1"/>
  <c r="D42" i="1"/>
  <c r="D37" i="1"/>
  <c r="D36" i="1" s="1"/>
  <c r="D12" i="1"/>
  <c r="C12" i="1"/>
  <c r="E12" i="1"/>
  <c r="E15" i="1"/>
  <c r="E48" i="1" l="1"/>
  <c r="E11" i="1"/>
  <c r="E9" i="1" s="1"/>
  <c r="E42" i="1"/>
  <c r="H4" i="2" l="1"/>
  <c r="N4" i="2" l="1"/>
  <c r="E15" i="2" l="1"/>
  <c r="H10" i="2"/>
  <c r="N10" i="2" s="1"/>
  <c r="G10" i="2"/>
  <c r="M10" i="2" s="1"/>
  <c r="F10" i="2"/>
  <c r="L10" i="2" s="1"/>
  <c r="E10" i="2" l="1"/>
  <c r="I10" i="2"/>
  <c r="J10" i="2"/>
  <c r="F15" i="2"/>
  <c r="L15" i="2" s="1"/>
  <c r="G15" i="2"/>
  <c r="M15" i="2" s="1"/>
  <c r="H15" i="2"/>
  <c r="N15" i="2" s="1"/>
  <c r="J15" i="2" l="1"/>
  <c r="I15" i="2"/>
  <c r="E5" i="2" l="1"/>
  <c r="H5" i="2"/>
  <c r="E16" i="2"/>
  <c r="E11" i="2"/>
  <c r="H11" i="2" l="1"/>
  <c r="N11" i="2" s="1"/>
  <c r="N5" i="2"/>
  <c r="K17" i="2"/>
  <c r="N17" i="2"/>
  <c r="H14" i="2"/>
  <c r="N14" i="2" s="1"/>
  <c r="E14" i="2"/>
  <c r="F11" i="2"/>
  <c r="G11" i="2"/>
  <c r="G16" i="2"/>
  <c r="M16" i="2" s="1"/>
  <c r="E19" i="2"/>
  <c r="G14" i="2" l="1"/>
  <c r="M14" i="2" s="1"/>
  <c r="I11" i="2"/>
  <c r="M11" i="2"/>
  <c r="J11" i="2"/>
  <c r="L11" i="2"/>
  <c r="F5" i="2"/>
  <c r="G5" i="2"/>
  <c r="I5" i="2" s="1"/>
  <c r="F16" i="2"/>
  <c r="L16" i="2" s="1"/>
  <c r="F14" i="2"/>
  <c r="F19" i="2"/>
  <c r="L19" i="2" s="1"/>
  <c r="I14" i="2" l="1"/>
  <c r="M17" i="2"/>
  <c r="L17" i="2"/>
  <c r="J14" i="2"/>
  <c r="L14" i="2"/>
  <c r="M5" i="2"/>
  <c r="J5" i="2"/>
  <c r="L5" i="2"/>
  <c r="E6" i="2"/>
  <c r="H16" i="2"/>
  <c r="G6" i="2"/>
  <c r="M6" i="2" s="1"/>
  <c r="H6" i="2"/>
  <c r="N6" i="2" l="1"/>
  <c r="I16" i="2"/>
  <c r="N16" i="2"/>
  <c r="F6" i="2"/>
  <c r="J16" i="2"/>
  <c r="I6" i="2"/>
  <c r="J6" i="2" l="1"/>
  <c r="L6" i="2"/>
  <c r="E23" i="2" l="1"/>
  <c r="G23" i="2" l="1"/>
  <c r="M23" i="2" s="1"/>
  <c r="H23" i="2"/>
  <c r="N23" i="2" s="1"/>
  <c r="E21" i="2"/>
  <c r="F21" i="2" l="1"/>
  <c r="L21" i="2" s="1"/>
  <c r="I23" i="2"/>
  <c r="H8" i="2"/>
  <c r="N8" i="2" l="1"/>
  <c r="E8" i="2" l="1"/>
  <c r="G4" i="2" l="1"/>
  <c r="F8" i="2" l="1"/>
  <c r="G8" i="2"/>
  <c r="I4" i="2"/>
  <c r="M4" i="2"/>
  <c r="L8" i="2" l="1"/>
  <c r="J8" i="2"/>
  <c r="M8" i="2"/>
  <c r="I8" i="2"/>
  <c r="E9" i="2" l="1"/>
  <c r="E4" i="2"/>
  <c r="E30" i="2" l="1"/>
  <c r="F9" i="2"/>
  <c r="L9" i="2" s="1"/>
  <c r="G9" i="2"/>
  <c r="H9" i="2"/>
  <c r="F4" i="2"/>
  <c r="J4" i="2" l="1"/>
  <c r="L4" i="2"/>
  <c r="M9" i="2"/>
  <c r="N9" i="2"/>
  <c r="I9" i="2"/>
  <c r="J9" i="2"/>
  <c r="E36" i="2" l="1"/>
  <c r="G21" i="2" l="1"/>
  <c r="M21" i="2" l="1"/>
  <c r="H21" i="2"/>
  <c r="I21" i="2" s="1"/>
  <c r="N21" i="2" l="1"/>
  <c r="J21" i="2"/>
  <c r="F23" i="2" l="1"/>
  <c r="F30" i="2" s="1"/>
  <c r="L23" i="2" l="1"/>
  <c r="J23" i="2"/>
  <c r="F36" i="2" l="1"/>
  <c r="G19" i="2" l="1"/>
  <c r="G30" i="2" s="1"/>
  <c r="M19" i="2" l="1"/>
  <c r="G36" i="2" l="1"/>
  <c r="H19" i="2"/>
  <c r="H30" i="2" s="1"/>
  <c r="J30" i="2" s="1"/>
  <c r="J19" i="2" l="1"/>
  <c r="N19" i="2"/>
  <c r="I19" i="2"/>
  <c r="I30" i="2" s="1"/>
  <c r="I36" i="2" l="1"/>
  <c r="H36" i="2"/>
  <c r="J36" i="2"/>
</calcChain>
</file>

<file path=xl/comments1.xml><?xml version="1.0" encoding="utf-8"?>
<comments xmlns="http://schemas.openxmlformats.org/spreadsheetml/2006/main">
  <authors>
    <author>Вершинина Мария Игоревна</author>
    <author>Залецкая Ольга Геннадьевна</author>
  </authors>
  <commentList>
    <comment ref="B116" authorId="0">
      <text>
        <r>
          <rPr>
            <b/>
            <sz val="9"/>
            <color indexed="81"/>
            <rFont val="Tahoma"/>
            <family val="2"/>
            <charset val="204"/>
          </rPr>
          <t>Вершинина Мария Игоревна:</t>
        </r>
        <r>
          <rPr>
            <sz val="9"/>
            <color indexed="81"/>
            <rFont val="Tahoma"/>
            <family val="2"/>
            <charset val="204"/>
          </rPr>
          <t xml:space="preserve">
2135
</t>
        </r>
      </text>
    </comment>
    <comment ref="O168" authorId="1">
      <text>
        <r>
          <rPr>
            <b/>
            <sz val="9"/>
            <color indexed="81"/>
            <rFont val="Tahoma"/>
            <family val="2"/>
            <charset val="204"/>
          </rPr>
          <t>Залецкая Ольга Геннадьевна:</t>
        </r>
        <r>
          <rPr>
            <sz val="9"/>
            <color indexed="81"/>
            <rFont val="Tahoma"/>
            <family val="2"/>
            <charset val="204"/>
          </rPr>
          <t xml:space="preserve">
</t>
        </r>
        <r>
          <rPr>
            <sz val="24"/>
            <color indexed="81"/>
            <rFont val="Tahoma"/>
            <family val="2"/>
            <charset val="204"/>
          </rPr>
          <t xml:space="preserve">Предприниматели
</t>
        </r>
      </text>
    </comment>
    <comment ref="O169" authorId="1">
      <text>
        <r>
          <rPr>
            <b/>
            <sz val="9"/>
            <color indexed="81"/>
            <rFont val="Tahoma"/>
            <family val="2"/>
            <charset val="204"/>
          </rPr>
          <t>Залецкая Ольга Геннадьевна:</t>
        </r>
        <r>
          <rPr>
            <sz val="9"/>
            <color indexed="81"/>
            <rFont val="Tahoma"/>
            <family val="2"/>
            <charset val="204"/>
          </rPr>
          <t xml:space="preserve">
</t>
        </r>
        <r>
          <rPr>
            <sz val="18"/>
            <color indexed="81"/>
            <rFont val="Tahoma"/>
            <family val="2"/>
            <charset val="204"/>
          </rPr>
          <t xml:space="preserve">Предприниматели
</t>
        </r>
      </text>
    </comment>
  </commentList>
</comments>
</file>

<file path=xl/comments2.xml><?xml version="1.0" encoding="utf-8"?>
<comments xmlns="http://schemas.openxmlformats.org/spreadsheetml/2006/main">
  <authors>
    <author>Вершинина Мария Игоревна</author>
  </authors>
  <commentList>
    <comment ref="B114" authorId="0">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<sst xmlns="http://schemas.openxmlformats.org/spreadsheetml/2006/main" count="636" uniqueCount="225">
  <si>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</si>
  <si>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</si>
  <si>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</si>
  <si>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</si>
  <si>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</si>
  <si>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</si>
  <si>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</si>
  <si>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</si>
  <si>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</si>
  <si>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</si>
  <si>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</si>
  <si>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</si>
  <si>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</si>
  <si>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</si>
  <si>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</si>
  <si>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</si>
  <si>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</si>
  <si>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</si>
  <si>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</si>
  <si>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</si>
  <si>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8.</t>
  </si>
  <si>
    <t>9.</t>
  </si>
  <si>
    <t>10.</t>
  </si>
  <si>
    <t>11.</t>
  </si>
  <si>
    <t>12.</t>
  </si>
  <si>
    <t>13.</t>
  </si>
  <si>
    <t>14.</t>
  </si>
  <si>
    <t>15.</t>
  </si>
  <si>
    <t>16.</t>
  </si>
  <si>
    <t>17.</t>
  </si>
  <si>
    <t>18.</t>
  </si>
  <si>
    <t>19.</t>
  </si>
  <si>
    <t>22.</t>
  </si>
  <si>
    <t>Наименование программы</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</si>
  <si>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</si>
  <si>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</si>
  <si>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</si>
  <si>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</si>
  <si>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</si>
  <si>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</si>
  <si>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</si>
  <si>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</si>
  <si>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</si>
  <si>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</si>
  <si>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реализуется</t>
  </si>
  <si>
    <t>НЕ реализуется</t>
  </si>
  <si>
    <t>21.</t>
  </si>
  <si>
    <t>20.</t>
  </si>
  <si>
    <t>Всего по программам 
Ханты-Мансийского автономного округа - Югры</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</si>
  <si>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</si>
  <si>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</si>
  <si>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</si>
  <si>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</si>
  <si>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тыс. руб.</t>
  </si>
  <si>
    <t>(тыс. руб.)</t>
  </si>
  <si>
    <t>Факт финансирования, всего</t>
  </si>
  <si>
    <t>1.</t>
  </si>
  <si>
    <t>4.</t>
  </si>
  <si>
    <t xml:space="preserve">7. </t>
  </si>
  <si>
    <t>24.</t>
  </si>
  <si>
    <t>25.</t>
  </si>
  <si>
    <t>Утвержденный план 
на 2015год, всего</t>
  </si>
  <si>
    <t xml:space="preserve">Уточненный план 
на 2015 год, всего </t>
  </si>
  <si>
    <t>Шерстнева А.Ю.</t>
  </si>
  <si>
    <t xml:space="preserve">Утвержденный план 
на 2016 год </t>
  </si>
  <si>
    <t xml:space="preserve">Уточненный план 
на 2016 год </t>
  </si>
  <si>
    <t>Ожидаемое исполнение на 01.01.2017</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</si>
  <si>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(Королёва Ю.Г.)</t>
  </si>
  <si>
    <t>Государственная программа "Развитие культуры и туризма в Ханты-Мансийском автономном округе - Югре на 2016-2020 годы" (Грищенкова Г.Р.)</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</si>
  <si>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</si>
  <si>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(Пелевин А.Р.)</t>
  </si>
  <si>
    <t>Государственная программа Ханты-Мансийского автономного округа – Югры «Развитие образования в Ханты-Мансийском автономном округе – Югре на 2016-2020 годы» 
(Османкина Т.Н.)</t>
  </si>
  <si>
    <t>Государственная программа "Развитие здравоохранения  на 2016-2020 годы" 
(Пелевин А.Р.)</t>
  </si>
  <si>
    <t xml:space="preserve">"Развитие здравоохранения  на 2016-2020 годы" </t>
  </si>
  <si>
    <t xml:space="preserve">"Развитие образования в Ханты-Мансийском автономном округе – Югре на 2016-2020 годы» </t>
  </si>
  <si>
    <t xml:space="preserve">«Социальная поддержка жителей Ханты-Мансийского автономного округа – Югры на 2016-2020 годы» </t>
  </si>
  <si>
    <t xml:space="preserve">«Доступная среда в Ханты-Мансийском автономном округе – Югре на 2016-2020 годы» </t>
  </si>
  <si>
    <t>"Развитие культуры и туризма в Ханты-Мансийском автономном округе - Югре на 2016-2020 годы"</t>
  </si>
  <si>
    <t xml:space="preserve">"Развитие физической культуры и спорта в Ханты-Мансийском автономном округе — Югре на 2016 — 2020 годы" </t>
  </si>
  <si>
    <t xml:space="preserve">«Содействие занятости населения в Ханты-Мансийском автономном округе – Югре на 2016-2020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</si>
  <si>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t>
  </si>
  <si>
    <t>Пешков С.М.</t>
  </si>
  <si>
    <t xml:space="preserve">«Развитие лесного хозяйства и лесопромышленного комплекса Ханты-Мансийского автономного округа – Югры на 2016-2020 годы» </t>
  </si>
  <si>
    <t xml:space="preserve">«Социально-экономическое развитие,коренных малочисленных народов Севера Ханты-Мансийского автономного округа – Югры на 2016-2020 годы» </t>
  </si>
  <si>
    <t xml:space="preserve">"Обеспечение доступным и комфортным жильем жителей Ханты-Мансийского автономного округа - Югры в 2016-2020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</si>
  <si>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2016-2020 годы» </t>
  </si>
  <si>
    <t>Перунова С.А.</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</si>
  <si>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</si>
  <si>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2016-2020 годы» </t>
  </si>
  <si>
    <t>«Обеспечение экологической безопасности Ханты-Мансийского автономного округа – Югры на 2016-2020 годы"</t>
  </si>
  <si>
    <t xml:space="preserve">«Социально-экономическое развитие, инвестиции и инновации Ханты-Мансийского автономного округа – Югры на 2016-2020 годы» </t>
  </si>
  <si>
    <t xml:space="preserve">«Информационное общество Ханты-Мансийского автономного округа – Югры на 2016-2020 годы» </t>
  </si>
  <si>
    <t>"Развитие транспортной системы Ханты-Мансийского автономного округа — Югры на 2016-2020 годы"</t>
  </si>
  <si>
    <t xml:space="preserve">«Управление государственными финансами в Ханты-Мансийском автономном округе – Югре на 2016-2020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</si>
  <si>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t>
  </si>
  <si>
    <t xml:space="preserve">«Развитие гражданского общества Ханты-Мансийского автономного округа – Югры на 2016-2020 годы» </t>
  </si>
  <si>
    <t xml:space="preserve">«Управление государственным имуществом Ханты-Мансийского автономного округа – Югры на 2016-2020 годы» </t>
  </si>
  <si>
    <t xml:space="preserve">«Развитие и использование минерально-сырьевой базы Ханты-Мансийского автономного округа – Югры на 2016-2020 годы» </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</si>
  <si>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</si>
  <si>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Государственная программа "Развитие физической культуры и спорта в Ханты-Мансийском автономном округе — Югре на 2016 — 2020 годы" (Грищенкова Г.Р.)</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</si>
  <si>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(Пешков С.М.)</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</si>
  <si>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</si>
  <si>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</si>
  <si>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"Обеспечение доступным и комфортным жильем жителей Ханты-Мансийского автономного округа - Югры в 2016-2020 годах" (Фокеев А.А.)</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</si>
  <si>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(Кочетков В.В.)</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</si>
  <si>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(Перунова С.А.)</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</si>
  <si>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</si>
  <si>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</si>
  <si>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(Королёва Ю.Г.)</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</si>
  <si>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</si>
  <si>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Государственная программа "Развитие транспортной системы Ханты-Мансийского автономного округа — Югры на 2016-2020 годы (Фокеев А.А.)</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</si>
  <si>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</si>
  <si>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(Шерстнева А.Ю.)</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</si>
  <si>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</si>
  <si>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</si>
  <si>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</si>
  <si>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</si>
  <si>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</si>
  <si>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</si>
  <si>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25 ГП ХМАО-Югры, из них:                                                                                                                                                                                                                                                                                
13 ГП - мероприятия реализуются;
12 ГП - реализация мероприятий не запланирована</t>
  </si>
  <si>
    <t>"Оказание содействия добровольному переселению в Ханты-Мансийский автономный округ – Югру соотечественников, проживающих за рубежом, на 2016–2020 годы"</t>
  </si>
  <si>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округе-Югре в 2016-2020 годах"</t>
  </si>
  <si>
    <t>Результаты реализации программы по состоянию  на отчетную дату  и ожидаемые результаты реализации  с указанием причин и пояснений</t>
  </si>
  <si>
    <t>Ожидаемый остаток средств на 1 января года, следующего за отчетным</t>
  </si>
  <si>
    <t>Реализация мероприятий не запланирована</t>
  </si>
  <si>
    <t>Приложение к письму ДФ</t>
  </si>
  <si>
    <t>от________№__________</t>
  </si>
  <si>
    <r>
      <t xml:space="preserve">Финансовые затраты на реализацию программы в </t>
    </r>
    <r>
      <rPr>
        <u/>
        <sz val="20"/>
        <color theme="1"/>
        <rFont val="Times New Roman"/>
        <family val="2"/>
        <charset val="204"/>
      </rPr>
      <t>2016</t>
    </r>
    <r>
      <rPr>
        <sz val="20"/>
        <color theme="1"/>
        <rFont val="Times New Roman"/>
        <family val="2"/>
        <charset val="204"/>
      </rPr>
      <t xml:space="preserve"> году  </t>
    </r>
  </si>
  <si>
    <t>Информация о реализации государственных программ Ханты-Мансийского автономного округа – Югры в городе Сургуте по состоянию на 01.07.2016 года</t>
  </si>
  <si>
    <t>Информация о реализации государственных программ Ханты-Мансийского автономного округа - Югры
на территории городского округа город Сургут на 01.07.2016 года</t>
  </si>
  <si>
    <t>бюджет ХМАО - Югры</t>
  </si>
  <si>
    <t>Подпрограмма III"Содействие развитию жилищного строительства"</t>
  </si>
  <si>
    <t>Приобретение жилья (ДАиГ)</t>
  </si>
  <si>
    <t>бюджет МО</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</si>
  <si>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</si>
  <si>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</si>
  <si>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Улица Маяковского на участке от ул. 30 лет Победы до ул. Университетской в г. Сургуте (ДАиГ)</t>
  </si>
  <si>
    <t>Создание наемных домов социального использования (ДАиГ)</t>
  </si>
  <si>
    <t>Подпрограмма  V"Обеспечение мерами государственной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</si>
  <si>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</si>
  <si>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</si>
  <si>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</si>
  <si>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</si>
  <si>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Обеспечение жильем граждан, уволенных с военной службы и приравненных к ним лиц (ДФ)</t>
  </si>
  <si>
    <t>федеральный бюджет (доп.ФК 5101)</t>
  </si>
  <si>
    <t>11.1.</t>
  </si>
  <si>
    <t>11.1.1.</t>
  </si>
  <si>
    <t>11.1.2.</t>
  </si>
  <si>
    <t>11.1.3.</t>
  </si>
  <si>
    <t>11.1.3.1.</t>
  </si>
  <si>
    <t>11.1.4.</t>
  </si>
  <si>
    <t>11.2.</t>
  </si>
  <si>
    <t>11.2.1.</t>
  </si>
  <si>
    <t>11.2.2.</t>
  </si>
  <si>
    <t>11.2.3.</t>
  </si>
  <si>
    <t>11.2.4.</t>
  </si>
  <si>
    <t>11.2.5.</t>
  </si>
  <si>
    <t>ОГХ</t>
  </si>
  <si>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Экономию в сумме 19 445,28 тыс.руб. планируется распределить на другите объекты (по согласванию с округом). Экономия в сумме 238,37 тыс.руб. будет предложена к снятию на очередном заседании Думыв города.
Планируемая площадь строительства кладбища - 3,01 га.                                                                        </t>
    </r>
    <r>
      <rPr>
        <u/>
        <sz val="20"/>
        <color theme="1"/>
        <rFont val="Times New Roman"/>
        <family val="1"/>
        <charset val="204"/>
      </rPr>
      <t>УПиЭ:</t>
    </r>
    <r>
      <rPr>
        <sz val="20"/>
        <color theme="1"/>
        <rFont val="Times New Roman"/>
        <family val="2"/>
        <charset val="204"/>
      </rPr>
      <t xml:space="preserve"> 4 337, 64тыс. руб. - экономия возникшая в результате проведения аукциона в электронной форме, в т.ч.:- 4 125, 93 тыс. руб. - средства окружного бюджета  - 211, 71 тыс. руб. - средства местного бюджета. Экономию в сумме 4 125,93 тыс.руб. планируется распределить на другие объекты (по согласованию с округом).</t>
    </r>
  </si>
  <si>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тыс.р., и контракт №2/2016 на сумму 791 876, 98560 тыс.р., сроком действия до 30.03.2017г. По условиям контрактов произведен авансовый платеж в размере 78% стоимости контрактов.                              </t>
  </si>
  <si>
    <t>В списке граждан, имеющих право на получение субсидии за счет средств федерального бюджета по городу Сургуту на 01.01.2016 состоит 512 человек. Согласно уточненного плана планируется в 2016 году предоставить субсидию 12 льготополучателям, из расчета размера субсидии 759 672 рубля. Направление субвенций из федерального бюджета в бюджет города в целях предоставления гражданам субсидий  не предусматривает заключение соглашения о финансировании.  Средства федерального бюджета до конца года планируется освоить в полном объёме.</t>
  </si>
  <si>
    <t>на 01.07.2016</t>
  </si>
  <si>
    <t>По состоянию на 01.07.2016 участниками данной подпрограммы числятся 64 молодые семьи.  30 мая 2016 года между Департаментом строительства ХМАО-Югры и Администрацией гоода Сургута заключено соглашение о финансировании подпрограммы в 2016 году.  Средства федерального и окружного бюджетов  поступили в полном объеме.</t>
  </si>
  <si>
    <t xml:space="preserve">Заключены муниципальные контракты и договоры на приобретение конвертов и бумаги. Планируемый срок освоения средств в 3 квартале 2016 года. </t>
  </si>
  <si>
    <t>С целью ввода объекта в эксплуатацию заключены муниципальные контракты на приобретение оборудования на сумму - 81 625,2 тыс руб.  с учетом монтажа, наладки и сборки - в период с марта по май. 
Объект не введен в эксплуатацию в установленный срок по причине того, что объект не укомплектован необходимым для ввода в эксплуатацию рентгенологическим оборудованием. Учитывая процедуру размещения муниципальных закупок, ориентировочный срок заключения контракта, срок поставки оборудования,ориентировочный срок ввода объекта в эксплуатацию – сентябрь 2016г.
 Возможен ввод объекта в эксплуатацию до поставки вышеуказанного оборудования в случае выдачи досрочно заключения Службой жилищного и строительного надзора ХМАО-Югры.
В соответствии с решением Думы города о внесении изменений в решение Думы города о бюджете города на 2016 год, рассмотрение которого состоялось на заседании Думы города 28 июня 2016 года дополнительно к 162 млн. рублей выделены 44 млн. рублей для оплаты по исполнительному листу дополнительного объема работ, не предусмотренных ПСД.</t>
  </si>
  <si>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20"/>
        <color theme="1"/>
        <rFont val="Times New Roman"/>
        <family val="1"/>
        <charset val="204"/>
      </rPr>
      <t>Департамент образования</t>
    </r>
    <r>
      <rPr>
        <sz val="20"/>
        <color theme="1"/>
        <rFont val="Times New Roman"/>
        <family val="2"/>
        <charset val="204"/>
      </rPr>
      <t xml:space="preserve">:
Ожидаемый остаток средств в сумме 40 335,13 тыс. руб. планируется в связи с:
1)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в сумме 40 113 тыс. руб. по причине снижения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снижения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t>
    </r>
    <r>
      <rPr>
        <u/>
        <sz val="20"/>
        <color theme="1"/>
        <rFont val="Times New Roman"/>
        <family val="1"/>
        <charset val="204"/>
      </rPr>
      <t>Департамент архитектуры и градостроительства:</t>
    </r>
    <r>
      <rPr>
        <sz val="20"/>
        <color theme="1"/>
        <rFont val="Times New Roman"/>
        <family val="2"/>
        <charset val="204"/>
      </rPr>
      <t xml:space="preserve">
Выкуп объекта "Детский сад №2 на 300 мест в 38 микрорайоне г.Сургута" будет произведен за счет средств областной программы "Сотрудничество". Средства местного бюджета перераспределены на другие цели в соответствии с решением Думы города о внесении изменений в решение Думы города о бюджете города на 2016 год, рассмотрение которого состоялось на заседании Думы города 28 июня 2016 года</t>
    </r>
  </si>
  <si>
    <r>
      <rPr>
        <u/>
        <sz val="20"/>
        <color theme="1"/>
        <rFont val="Times New Roman"/>
        <family val="1"/>
        <charset val="204"/>
      </rPr>
      <t>АГ:</t>
    </r>
    <r>
      <rPr>
        <sz val="20"/>
        <color theme="1"/>
        <rFont val="Times New Roman"/>
        <family val="2"/>
        <charset val="204"/>
      </rPr>
      <t xml:space="preserve">Реализация подмероприятия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Планируемый срок освоения средств до конца 2016 года.;
</t>
    </r>
    <r>
      <rPr>
        <u/>
        <sz val="20"/>
        <color theme="1"/>
        <rFont val="Times New Roman"/>
        <family val="1"/>
        <charset val="204"/>
      </rPr>
      <t>ДКМПиС:</t>
    </r>
    <r>
      <rPr>
        <sz val="20"/>
        <color theme="1"/>
        <rFont val="Times New Roman"/>
        <family val="1"/>
        <charset val="204"/>
      </rPr>
      <t xml:space="preserve">
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Планируемый срок освоения средств до конца 2016 года.;
</t>
    </r>
    <r>
      <rPr>
        <u/>
        <sz val="20"/>
        <color theme="1"/>
        <rFont val="Times New Roman"/>
        <family val="1"/>
        <charset val="204"/>
      </rPr>
      <t>ДАиГ:</t>
    </r>
    <r>
      <rPr>
        <sz val="20"/>
        <color theme="1"/>
        <rFont val="Times New Roman"/>
        <family val="1"/>
        <charset val="204"/>
      </rPr>
      <t xml:space="preserve">
Работы выполняются в соответствии с заключенным муниципальным контрактом с ООО "Сибвитосервис" №18/2014 от 04.10.14 г.  Сумма по контракту - 323 245,6 тыс. руб.   Срок выполнения работ - 15.06.2016 г. Заключены 15 муниципальных контрактов для комплектации и ввода в эксплуатацию объекта(поставка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37 226,5 тыс.руб. 
Готовность объекта - 90,4 %. Ориентировочная дата ввода объекта в эксплуатацию - август 2016 года. </t>
    </r>
  </si>
  <si>
    <r>
      <rPr>
        <u/>
        <sz val="20"/>
        <color theme="1"/>
        <rFont val="Times New Roman"/>
        <family val="1"/>
        <charset val="204"/>
      </rPr>
      <t>ДКМПиС:</t>
    </r>
    <r>
      <rPr>
        <sz val="20"/>
        <color theme="1"/>
        <rFont val="Times New Roman"/>
        <family val="2"/>
        <charset val="204"/>
      </rPr>
      <t xml:space="preserve">
Реализация мероприятий  по проведению смотров-конкурсов в сфере физической культуры и спорта (приобретение спортивного инветаря, экиперовки, спортивного оборудования)  осуществляется в плановом режиме согласно заключенным соглашению. Планируемый срок освоения средств до конца 2016 года. 
</t>
    </r>
    <r>
      <rPr>
        <u/>
        <sz val="20"/>
        <color theme="1"/>
        <rFont val="Times New Roman"/>
        <family val="1"/>
        <charset val="204"/>
      </rPr>
      <t>ДАиГ:</t>
    </r>
    <r>
      <rPr>
        <sz val="20"/>
        <color theme="1"/>
        <rFont val="Times New Roman"/>
        <family val="2"/>
        <charset val="204"/>
      </rPr>
      <t xml:space="preserve">
Получено положительное заключение по проверке достоверности определения сметной стоимости объекта №86-1-6-0010-16 от 16.02.2016г.
Средств для завершения строительства объекта недостаточно. Потребность составляет 150 494,9 тыс.руб.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Заключен муниципальный контракт № 37/2016 от 14.06.2016 г.  на выполнение работ по завершению строительства объекта. Сумма по контракту 415 049,7 тыс.руб. Согласно графику оплаты, лимит 2016 года - 269 419,1 тыс.руб., лимит 2017 года - 145 630,6 тыс.руб. Срок выполнения работ по 09.12.2016 года.                                                                                                                                             
Готовность объекта - 57%. 
Ориентировочная дата ввода объекта в эксплуатацию -  декабрь 2016 года.</t>
    </r>
  </si>
  <si>
    <r>
      <t xml:space="preserve">АГ:
Реализация мероприятий "Обеспечение продовольственной безопасности" осуществляется в плановом режиме согласно заключенных договоров на обеспечение отдела статистики города Сургута транспортными средствами и услугами связи, в рамках организации проведения Всероссийской сельскохозяйственной переписи, согласно предоставленного графика. Расходы запланированы на 3 квартал 2016 год.                                                                                           </t>
    </r>
    <r>
      <rPr>
        <u/>
        <sz val="20"/>
        <color theme="1"/>
        <rFont val="Times New Roman"/>
        <family val="1"/>
        <charset val="204"/>
      </rPr>
      <t>ДГХ:</t>
    </r>
    <r>
      <rPr>
        <sz val="20"/>
        <color theme="1"/>
        <rFont val="Times New Roman"/>
        <family val="2"/>
        <charset val="204"/>
      </rPr>
      <t xml:space="preserve"> 
Планируется отловить и утилизировать 2 200 безнадзорных животных. По состоянию на 01.07.2016 утилизировано 700 безнадзорных животных. 
КУИ:
За период январь-июнь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t>
    </r>
  </si>
  <si>
    <t>Заключены муниципальные контракты на приобретение: 24 кв.- 2-х комнатных (84737,9529 руб., 1611,1 м2); 42 кв. - 1 комнатных (95111,1288 руб, 1807,8 м2). Произведена оплата 30% стоимости жилых помещений за счет средств окружного бюджета. Доля местного бюджета будет оплачена 1.07.2016г. 
Акцион на приобретение 2-х комнатной квартиры, 50м2, не состоялся ввиду отсутствия заявок. Заявка на проведение аукциона будет размещена повторно в июле 2016 г.                                                                                         
Размещение заявки на приобретение жилых помещений на дополнительно выделенные средства планируется в июле 2016 года.</t>
  </si>
  <si>
    <t xml:space="preserve">Оплата субсидий участникам программы будет производится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2268,3099 тыс.руб). </t>
  </si>
  <si>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- 423 186,003 тыс.руб, на 2015 год - 82 829,0 тыс.руб. Срок выполнения работ - 30 сентября 2016 года. 
Готовность объекта 34,4 %. 
В связи с  необходимостью корректировки видов работ, предусмотренных протоколом договорной цены необходимо оформление дополнительного соглашения к МК № 03/2015 от 19.05.2015 г. Ведется работа по оформлению дополнительного соглашения. Ориентировочная дата ввода объекта в эксплуатацию - ноябрь 2016 года.</t>
  </si>
  <si>
    <r>
      <t xml:space="preserve">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t>
    </r>
    <r>
      <rPr>
        <sz val="20"/>
        <rFont val="Times New Roman"/>
        <family val="1"/>
        <charset val="204"/>
      </rPr>
      <t xml:space="preserve">Заключен контракт на приобретение форменной одежды. Планируемый срок освоения средств до конца 2016 года.      </t>
    </r>
    <r>
      <rPr>
        <sz val="20"/>
        <rFont val="Times New Roman"/>
        <family val="2"/>
        <charset val="204"/>
      </rPr>
      <t xml:space="preserve">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и копировально-множительной техники и конвертального оборудования АПК "Безопасный город". Планируемый срок освоения средств до конца 2016 года.               
ДГХ: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Средства 1 100 тыс. руб., поступили в бюджет города в соответствии со справками Департамента финансов ХМАО-Югры  от 20.05.2016  № 230/05/16 на основании приказа Департамента образования и молодежной политики ХМАО-Югры от 18.05.2016 № 784 "Об итогах конкурса по вопросам развития казачьих кадетских классов с казачьим компонентом на базе мунциипальных общеобразовательных организаций в ХМАО-Югре".Планируемый срок освоения средств до конца 2016 года.               
</t>
    </r>
  </si>
  <si>
    <r>
      <rPr>
        <u/>
        <sz val="20"/>
        <color theme="1"/>
        <rFont val="Times New Roman"/>
        <family val="1"/>
        <charset val="204"/>
      </rPr>
      <t>ДГХ:</t>
    </r>
    <r>
      <rPr>
        <sz val="20"/>
        <color theme="1"/>
        <rFont val="Times New Roman"/>
        <family val="2"/>
        <charset val="204"/>
      </rPr>
      <t xml:space="preserve"> Ожидаемое неисполнение - 1 117,19 тыс.руб. - экономия по факту выполненных работ по подпрограмме "Повышение энергоэффективности в отраслях экономики". 
За счет средств бюджета МО запланировано выполнить:
-  капитальный ремонт 2 объектов социальной сферы - МБОУ СОШ №12, МБОУ СОШ  №19;
- замену 445 светильников в трех объектах дошкольного образования, 268 светильников в двух объектах общего образования;
- энергетическое обледование МБДОУ №31 "Снегирек";
-  модернизацию системы теплоснабжения по объекту: Гаражи, ул. 30 лет Победы, 19Б.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(Соглашение № 46-15 от 10 июля 2015 A3:M29о предоставлении субсидии  бюджету муниципального образования город Сургут на выполнение мероприятий по переселению граждан из аварийного жилищного фонда на 2015-2016 год)</t>
    </r>
  </si>
  <si>
    <r>
      <t>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01.07.2016 в рамках исполнения контракта на оказание услуг по организации ярмарок </t>
    </r>
    <r>
      <rPr>
        <sz val="20"/>
        <color theme="1"/>
        <rFont val="Times New Roman"/>
        <family val="2"/>
        <charset val="204"/>
      </rPr>
      <t>на территории города Сургута с участием субъектов малого и среднего предпринимательства состоялись 2 ярмарки с участием местных товаропроизводителей. В рамках мероприятия "Финансовая поддержка" поддержка в форме субсидий оказана 15 субъектам малого и среднего предпринимательства. Ведется работа по информированию субъектов малого и среднего предпринимательства о формах поддержки. Исполнение мероприятий программы запланировано на 3 квартал 2016 года.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1) В 1 полугодие 2016 года заключены и исполнены 14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2) В 3 квартале 2016 года ожидается исполнить средства по заключенным контрактам на поставку технических средств, серверного оборудования, переферийного оборудования и копировально-множительной техники.
3) Готовятся заявки на размещение в плане-графике размещения заказов на поставку оборудования, мебели, программного обеспечения и проведение ремонтных работ в офисе в ТРЦ Сити Молло с исполнением до конца 2016 года.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</si>
  <si>
    <r>
      <rPr>
        <u/>
        <sz val="20"/>
        <color theme="1"/>
        <rFont val="Times New Roman"/>
        <family val="1"/>
        <charset val="204"/>
      </rPr>
      <t>ДГХ:</t>
    </r>
    <r>
      <rPr>
        <sz val="20"/>
        <color theme="1"/>
        <rFont val="Times New Roman"/>
        <family val="2"/>
        <charset val="204"/>
      </rPr>
      <t xml:space="preserve"> Исполнение мероприятия осуществляется в соответствии с условиями заключённых контрактов, расходы запланированы на 3 квартал 2016. Планируется выполнить ремонт дорог общей площадью 113,489 тыс.кв.м.
</t>
    </r>
    <r>
      <rPr>
        <u/>
        <sz val="20"/>
        <color theme="1"/>
        <rFont val="Times New Roman"/>
        <family val="1"/>
        <charset val="204"/>
      </rPr>
      <t>ДАиГ:</t>
    </r>
    <r>
      <rPr>
        <sz val="20"/>
        <color theme="1"/>
        <rFont val="Times New Roman"/>
        <family val="2"/>
        <charset val="204"/>
      </rPr>
      <t xml:space="preserve">
Работы выполняются в соответствии с заключенным муниципальным контрактом №31/2015 от 14.09.2015г. с АО «АВТОДОРСТРОЙ» на сумму 586 738,6 тыс. руб.                                                                                                    
Готовность объекта - 51,5 %.                                                                             
В июне 2016 года приняты работы  на сумму 55 260,8 тыс.руб.,  средства  бюджета автономного округа в размере 52 497,8 тыс.руб.  будут оплачены в июле 2016 г.</t>
    </r>
  </si>
  <si>
    <r>
      <t xml:space="preserve">В рамках реализации мероприятия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 по состоянию на 01.07.2016 произведена выплата вознаграждения 188 приемным родителям за январь-май 2016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пр.Комсомольский,44/2 кв.59, ул.Университетская д.25/1 кв.3. 
Реализация мероприятия осуществляется в плановом режиме согласно заключенным контрактам и договорам . Планируемый срок освоения средств до конца 2016 года.                                                       
</t>
    </r>
    <r>
      <rPr>
        <u/>
        <sz val="20"/>
        <color theme="1"/>
        <rFont val="Times New Roman"/>
        <family val="1"/>
        <charset val="204"/>
      </rPr>
      <t>ДГХ:</t>
    </r>
    <r>
      <rPr>
        <sz val="20"/>
        <color theme="1"/>
        <rFont val="Times New Roman"/>
        <family val="2"/>
        <charset val="204"/>
      </rPr>
      <t xml:space="preserve"> В 2016 году планируется выполнить ремонт в 5 квартирах. Для ремонта переданы 2 квартиры:
1) пр.Комсомольский 44/2 кв.59:  05.05.16 размещен заказ на сумму 284,02 тыс.руб., аукцион состоялся 30.05.15, заключен муниципальный контракт от 18.06.2018 №29-ГХ с ООО "ОМС" на сумму 193,13 тыс.руб. со сроком выполнения - 18.06.16-06.08.16.
2) ул. Университетская 25/1 кв.3: дефектная ведомость согласована в комитете по опеке и попечительству, локально-сметные расчеты проверены в Стройцене, готовится техническое задание, размещение заказа на сумму 426, 05 тыс.руб. - июнь 2016, срок исполнения контракта - сентябрь 2016. 
3 квартиры (отсутствует перечень) на сумму 2 227,84 тыс.руб.: размещение заказа - август 2016, срок исполнения контракта - декабрь 2016.  
ДАиГ:
Аукцион на приобретение квартир для детей сирот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t>
    </r>
  </si>
  <si>
    <r>
      <t xml:space="preserve">АГ: Реализация мероприятий осуществляется в плановом режиме согласно заключенным контрактам и договорам . Планируемый срок освоения средств до конца 2016 года.                                         </t>
    </r>
    <r>
      <rPr>
        <u/>
        <sz val="20"/>
        <rFont val="Times New Roman"/>
        <family val="1"/>
        <charset val="204"/>
      </rPr>
      <t>УПиЭ:</t>
    </r>
    <r>
      <rPr>
        <sz val="20"/>
        <rFont val="Times New Roman"/>
        <family val="2"/>
        <charset val="204"/>
      </rPr>
      <t xml:space="preserve"> Денежные средства в сумме 47,72 тыс. руб. (по мероприятию - организация временного трудоустройства безработных граждан, испытывающих трудности в поиске работы) будут освоены в течении 2016 года.                                                                                                        Денежные средства в сумме 50,91 тыс.руб.(по мероприятию - организация проведения оплачиваемых общественных работ для не занятых трудовой деятельностью и безработных граждан) -  с КУ ХМАО-Югры "Сургутский центр занятости населения" заключен договор от 14.06.2016 № 171/01 о совместной деятельности по организации временного трудоустройства граждан в количестве 2 человек по профессии рабочий зеленого хозяйства с периодом участия - 2 месяца. Денежные средства будут освоены в течении 2016 года.
</t>
    </r>
    <r>
      <rPr>
        <u/>
        <sz val="20"/>
        <rFont val="Times New Roman"/>
        <family val="1"/>
        <charset val="204"/>
      </rPr>
      <t>ДО:</t>
    </r>
    <r>
      <rPr>
        <sz val="20"/>
        <rFont val="Times New Roman"/>
        <family val="1"/>
        <charset val="204"/>
      </rPr>
      <t xml:space="preserve">
Реализация мероприятия "Организация стажировки выпукников профессиональных образовательных организаций и организаций высшего образования в возрасте до 25 лет" осуществляется в плановом режиме согласно заключенным  договорам. КУ ХМАО-Югры "Сургутский центр занятости" проводит работу по поиску кандидатов. Планируемый срок освоения средств до конца 2016 года. 
</t>
    </r>
    <r>
      <rPr>
        <u/>
        <sz val="20"/>
        <rFont val="Times New Roman"/>
        <family val="1"/>
        <charset val="204"/>
      </rPr>
      <t xml:space="preserve">ДКМПиС, 
</t>
    </r>
    <r>
      <rPr>
        <sz val="20"/>
        <rFont val="Times New Roman"/>
        <family val="1"/>
        <charset val="204"/>
      </rPr>
      <t xml:space="preserve">Реализация мероприятия "Содействие в трудоустройстве незанятых инвалидов на оборудованные (оснащенные) для них рабочие места" осуществляется в плановом режиме согласно заключенному договору от 30.06.2016.  Планируемый срок освоения средств до конца 2016 года. </t>
    </r>
  </si>
  <si>
    <t xml:space="preserve">Средства предусмотрены на выплату субсидии и приобретение жилого помещения для участников программы.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2 ветеранам ВОВ предоставлена единовременная денежная выплата на приобретение жилого помещения самостоятельно, 1 ветерану ВОВ приобретено и предоставлено жилое помещение на условиях договора социального найма. </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</si>
  <si>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</si>
  <si>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</si>
  <si>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</si>
  <si>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Пояснения, ожидаемые результаты, планируемые сроки выполнения работ, оказания услуг, причины неисполнения и так далее</t>
  </si>
  <si>
    <t xml:space="preserve">                                                                                                                                                                             </t>
  </si>
  <si>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 тыс.р., и контракт №2/2016 на сумму 791 876, 99 тыс.р., сроком действия до 30.03.2017г. По условиям контрактов произведен авансовый платеж в размере 78% стоимости контрактов.   Дополнительная потребность составляет 260 млн. рублей, в том числе средства окружного бюджета 235 млн. рублей. Обращение в ДФ ХМАО направлено.                           </t>
  </si>
  <si>
    <t xml:space="preserve">бюджет ХМАО - Югры </t>
  </si>
  <si>
    <t xml:space="preserve">бюджет ХМАО-Югры </t>
  </si>
  <si>
    <t xml:space="preserve">федеральный бюджет </t>
  </si>
  <si>
    <r>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поддержку малых форм хозяйствования; 
 2. Субвенции на повышение эффективности использования и развитие ресурсного потенциала рыбохозяйственного комплекса;
 3. субвенции по поддержку животноводства, переработку и реализацию продукции животноводства;
 4.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5. Субвенции на проведение Всероссийской сельскохозяйственной переписи в 2016 году).</t>
    </r>
  </si>
  <si>
    <r>
      <t xml:space="preserve">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3.Субсидия на возмещение части затрат на уплату процентов по привлекаемым заемным средствам на оплату задолженности за энергоресурсы; о привлекаемым заемным средствам на реконструкцию, расширение, модернизацию, строительство, капитальный ремонт объектов коммунального комплекса;
4.Субсидии на обеспечение мероприятий по переселению граждан из аварийного жилищного фонда).</t>
    </r>
  </si>
  <si>
    <r>
      <t xml:space="preserve">Государственная программа "Развитие здравоохранения  на 2016-2020 годы" 
</t>
    </r>
    <r>
      <rPr>
        <sz val="20"/>
        <color theme="1"/>
        <rFont val="Times New Roman"/>
        <family val="1"/>
        <charset val="204"/>
      </rPr>
      <t>(Субсидия на строительство и реконструкцию объектов здравоохранения)</t>
    </r>
  </si>
  <si>
    <r>
      <t xml:space="preserve">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t>
    </r>
    <r>
      <rPr>
        <sz val="20"/>
        <color theme="1"/>
        <rFont val="Times New Roman"/>
        <family val="1"/>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отдыха и оздоровления детей;
  6. Субвенции на обеспечение дополнительных гарантий прав на жилое помещение детей-сирот и детей, оставшихся без попечения родител
ей, лиц из числа детей-сирот и детей, оставшихся без попечения родителей; 7. Субсидии на оплату стоимости питания детей школьного возраста в оздоровительных лагерях с дневным пребыванием детей).</t>
    </r>
  </si>
  <si>
    <r>
      <t>Государственная программа "Развитие культуры и туризма в Ханты-Мансийском автономном округе - Югре на 2016-2020 годы"</t>
    </r>
    <r>
      <rPr>
        <sz val="20"/>
        <color theme="1"/>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2. Субсидия на модернизацию общедоступных муниципальных библиотек;   3. Субсидии на обновление материально-технической базы муниципальных детских школ искусств (по видам искусств) в сфере культуры; 
 4. Субсидии на строительство объектов, предназначенных для размещения муниципальных учреждений культуры; 
 5. Иные межбюджетные трансферты  на реализацию мероприятий по стимулированию культурного разнообразия в автономном округе; 
 6.  Иные межбюджетные трансферты  на комплектование книжных фондов библиотек.)</t>
    </r>
  </si>
  <si>
    <r>
      <t xml:space="preserve">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 Субсидии на развитие материально-технической базы муниципальных учреждений спорта; 
 2. иные межбюджетные трансферты на реализацию мероприятий по проведению смотров-конкурсов в сфере физической культуры и спорта)</t>
    </r>
  </si>
  <si>
    <r>
      <t xml:space="preserve">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t>
    </r>
    <r>
      <rPr>
        <sz val="20"/>
        <color theme="1"/>
        <rFont val="Times New Roman"/>
        <family val="1"/>
        <charset val="204"/>
      </rPr>
      <t>(1.Субвенции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</si>
  <si>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r>
    <r>
      <rPr>
        <sz val="20"/>
        <rFont val="Times New Roman"/>
        <family val="1"/>
        <charset val="204"/>
      </rPr>
      <t>(1. Субвенции  на государственную регистрацию актов гражданского состояния;
 2. Субвенции на осуществление полномочий по созданию и обеспечению деятельности административных комиссий;
 3. Субсидии на создание условий для деятельности народных дружин;
 4. Субсидии на размещение систем видеообзора, модернизацию, обеспечение функционирования систем видеонаблюдения;
 5. Иные межбюджетные трансферты  на реализацию мероприятий по поддержке российского казачества;
6.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r>
  </si>
  <si>
    <r>
      <t xml:space="preserve">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государственную поддержку малого и среднего предпринимательства; 
2. Субсидии на предоставление государственных услуг в многофункциональных центрах предоставления государственных и муниципальных услуг;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</si>
  <si>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(Субсидии на строительство (реконструкцию), капитальный ремонт и ремонт автомобильных дорог общего пользования местного значения)</t>
    </r>
  </si>
  <si>
    <r>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2. Субсидии на развитие общественной инфраструктуры и реализацию приоритетных направлений развития).</t>
    </r>
  </si>
  <si>
    <r>
      <t xml:space="preserve">Государственная программа Ханты-Мансийского автономного округа – Югры «Развитие образования в Ханты-Мансийском автономном округе – Югре на 2016-2020 годы» 
</t>
    </r>
    <r>
      <rPr>
        <sz val="20"/>
        <color theme="1"/>
        <rFont val="Times New Roman"/>
        <family val="1"/>
        <charset val="204"/>
      </rPr>
      <t>(1. Субвенции на реализацию основных общеобразовательных программ; 
 2. Субвенции на реализацию дошкольными образовательными организациями основных общеобразовательных программ дошкольного образования; 
 3. Субвенции  на  социальную  поддержку отдельных категорий обучающихся  в муниципальных  и частных общеобразовательных организациях;
 4. Субвенции на выплату компенсации части родительской платы за присмотр и уход за детьми в образовательных организациях дошкольного образования; 
 5. Субвенции на информационное обеспечение общеобразовательных организаций в части доступа к образовательным ресурсам сети "Интернет";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дошкольного образования; 
 8. Иные межбюджетные трансферты на организацию и проведение ЕГЭ и на реализацию проекта, признанного  победителем конкурсного отбора образовательных организаций, имеющих статус региональных инновационных площадок).</t>
    </r>
  </si>
  <si>
    <t>Залецкая</t>
  </si>
  <si>
    <t>Крыжановская, Корунова</t>
  </si>
  <si>
    <t>Работы по строительству и ремонту дорог осуществляются в соответствии с условиями заключенных контрактов</t>
  </si>
  <si>
    <t xml:space="preserve">С целью ввода в эксплуатацию объекта  "Поликлиника "Нефтяник" на 700 пос. в смену в мкр. 37"  заключены муниципальные контракты на приобретение оборудования на сумму - 81 625,2 тыс руб.  с учетом монтажа, наладки и сборки - в период с марта по май. 
Объект не введен в эксплуатацию в установленный срок (декабрь 2015) по причине того, что объект не укомплектован необходимым для ввода в эксплуатацию рентгенологическим оборудованием. Учитывая процедуру размещения муниципальных закупок, ориентировочный срок заключения контракта, срок поставки оборудования,ориентировочный срок ввода объекта в эксплуатацию – сентябрь 2016г.
На июньском заседании Думы города по вопросу внесения изменений в бюджет города принято решение о выделении дополнительно к 162 млн. рублей 44 млн. рублей для оплаты по исполнительному листу дополнительного объема работ, не предусмотренных ПСД. В июле оплата по исполнительному листу произведена в полном объеме.
</t>
  </si>
  <si>
    <r>
      <t xml:space="preserve">Заключено соглашение от 11.02.2016  № АС-4с о софинансировании и реализации мероприятий государственной программы между Департаментом внутренней политики ХМАО-Югры и Администрацией города. 
</t>
    </r>
    <r>
      <rPr>
        <sz val="20"/>
        <rFont val="Times New Roman"/>
        <family val="1"/>
        <charset val="204"/>
      </rPr>
      <t xml:space="preserve">Заключены договоры на приобретение форменной одежды и удостоверений, выплачено материальное стимулирование народным дружинникам по итогам 1 полугодия 2016 года. Бюджетные ассигнования будут использованы в полном объеме до конца 2016 года.      </t>
    </r>
    <r>
      <rPr>
        <sz val="20"/>
        <rFont val="Times New Roman"/>
        <family val="2"/>
        <charset val="204"/>
      </rPr>
      <t xml:space="preserve">         
В рамках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заключены контракты на техническое обслуживание АПК "Безопасный город", копировально-множительной техники и конвертального оборудования АПК "Безопасный город" и услуги по приему, обработке и доставке заказных писем с уведомлением.  
Реализация мероприятия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t>
    </r>
    <r>
      <rPr>
        <u/>
        <sz val="20"/>
        <rFont val="Times New Roman"/>
        <family val="1"/>
        <charset val="204"/>
      </rPr>
      <t>ДГХ</t>
    </r>
    <r>
      <rPr>
        <sz val="20"/>
        <rFont val="Times New Roman"/>
        <family val="2"/>
        <charset val="204"/>
      </rPr>
      <t xml:space="preserve">: 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ДО:
Средства 1 100 тыс. руб., поступившие в соответствии со справкой Департамента финансов ХМАО-Югры  от 20.05.2016  на развитие казачьих кадетских классов с казачьим компонентом на базе мунциипальных общеобразовательных организаций в ХМАО-Югре  планируется использовать  до конца 2016 года.               
</t>
    </r>
  </si>
  <si>
    <r>
      <rPr>
        <u/>
        <sz val="20"/>
        <color theme="1"/>
        <rFont val="Times New Roman"/>
        <family val="1"/>
        <charset val="204"/>
      </rPr>
      <t>ДГХ:</t>
    </r>
    <r>
      <rPr>
        <sz val="20"/>
        <color theme="1"/>
        <rFont val="Times New Roman"/>
        <family val="2"/>
        <charset val="204"/>
      </rPr>
      <t xml:space="preserve"> Ожидаемое неисполнение - 3 391,46 тыс.руб. - экономия по факту выполненных работ, по итогам проведения конкурсов по подпрограмме "Повышение энергоэффективности в отраслях экономики". 
За счет средств бюджета МО запланировано выполнить:
-  капитальный ремонт 2 объектов социальной сферы - МБОУ СОШ №12, МБОУ СОШ  №19;
- замену 445 светильников в трех объектах дошкольного образования, 268 светильников в двух объектах общего образования;
- энергетическое обледование МБДОУ №31 "Снегирек";
-  модернизацию системы теплоснабжения по объекту: Гаражи, ул. 30 лет Победы, 19Б.
</t>
    </r>
    <r>
      <rPr>
        <u/>
        <sz val="20"/>
        <color theme="1"/>
        <rFont val="Times New Roman"/>
        <family val="1"/>
        <charset val="204"/>
      </rPr>
      <t>ДАиГ:</t>
    </r>
    <r>
      <rPr>
        <sz val="20"/>
        <color theme="1"/>
        <rFont val="Times New Roman"/>
        <family val="2"/>
        <charset val="204"/>
      </rPr>
      <t xml:space="preserve">
Произведена оплата по контрактам заключенным в 2015 году, за счет средств фонда реформирования ЖКХ, на приобретение жилых помещений, в целях выполнения мероприятий по переселению граждан из аварийного жилищного фонда </t>
    </r>
  </si>
  <si>
    <r>
      <rPr>
        <u/>
        <sz val="20"/>
        <rFont val="Times New Roman"/>
        <family val="1"/>
        <charset val="204"/>
      </rPr>
      <t>АГ:</t>
    </r>
    <r>
      <rPr>
        <sz val="20"/>
        <rFont val="Times New Roman"/>
        <family val="2"/>
        <charset val="204"/>
      </rPr>
      <t xml:space="preserve">
Р</t>
    </r>
    <r>
      <rPr>
        <sz val="20"/>
        <rFont val="Times New Roman"/>
        <family val="1"/>
        <charset val="204"/>
      </rPr>
      <t xml:space="preserve">еализация мероприятий "Обеспечение продовольственной безопасности" осуществляется в плановом режиме согласно заключенным договорам на обеспечение отдела статистики города Сургута транспортными средствами и услугами связи, в рамках организации проведения Всероссийской сельскохозяйственной переписи, согласно предоставленному графику. Расходы запланированы на 3 квартал 2016 год.                       </t>
    </r>
    <r>
      <rPr>
        <sz val="20"/>
        <rFont val="Times New Roman"/>
        <family val="2"/>
        <charset val="204"/>
      </rPr>
      <t xml:space="preserve">                                                                   
</t>
    </r>
    <r>
      <rPr>
        <u/>
        <sz val="20"/>
        <rFont val="Times New Roman"/>
        <family val="1"/>
        <charset val="204"/>
      </rPr>
      <t>ДГХ:</t>
    </r>
    <r>
      <rPr>
        <sz val="20"/>
        <rFont val="Times New Roman"/>
        <family val="2"/>
        <charset val="204"/>
      </rPr>
      <t xml:space="preserve"> 
Планируется отловить и утилизировать 2 200 безнадзорных животных. По состоянию на 01.09.2016 утилизировано 1 273 безнадзорное животное. 
</t>
    </r>
    <r>
      <rPr>
        <u/>
        <sz val="20"/>
        <rFont val="Times New Roman"/>
        <family val="1"/>
        <charset val="204"/>
      </rPr>
      <t>КУИ:</t>
    </r>
    <r>
      <rPr>
        <sz val="20"/>
        <rFont val="Times New Roman"/>
        <family val="2"/>
        <charset val="204"/>
      </rPr>
      <t xml:space="preserve">
За период январь-июнь отсутствуют заявки на перечисление субсидий на поддержку сельскохозяйственного производства (рыбохозяйственного комплекса, развития малых форм хозяйствования)</t>
    </r>
  </si>
  <si>
    <t>на 01.09.2016</t>
  </si>
  <si>
    <t>Обеспечение жильем граждан, уволенных с военной службы и приравненных к ним лиц ()</t>
  </si>
  <si>
    <t>Отсутствует потребность в данных средствах по причине отсутствия лиц, уволенных с военной службы, нуждающихся в улучшении жилищных условий.</t>
  </si>
  <si>
    <t xml:space="preserve">По состоянию на 01.09.2016 участниками данной подпрограммы числятся 57 молодые семьи.  30 мая 2016 года между Департаментом строительства ХМАО-Югры и Администрацией города Сургута заключено соглашение о финансировании подпрограммы в 2016 году.  Средства федерального и окружного бюджетов  поступили в полном объеме. В текущем году, планируется предоставить социальную выплату на приобретение (строительство) жилья 9 молодым семьям, в том числе 8 молодым семьям по соглашению 2016 года и 1 молодой семье в рамках переходящих обязательств 2015 года. Перечисление средств будет осуществлено после поступления заявки из банка на перечисление субсидии. По состоянию на 01.09.2016 социальная выплата перечислена 5 молодым семьям, в том числе 1 участнику 2015 и 4 участникам 2016. </t>
  </si>
  <si>
    <t>Заключены договоры на приобретение конвертов и бумаги для направления участникам программы извещений. Бюджетные ассигнования использованы.</t>
  </si>
  <si>
    <t>Заключены муниципальные контракты на приобретение: 24 кв.- 2-х комнатных (84 737,95 руб., 1 611,1 м2); 42 кв. - 1 комнатных (95 111,13 руб, 1 807,8 м2). Произведена оплата 30% стоимости жилых помещений. 
Акты приема-передачи жилых помещений в стадии подписания, ориентировочно окончательный расчет будет произведен в сентябре 2016 года. Подготовлена аукционная документация на приобретение 42 жилых помещений (15 кв.-2-х комнатных; 26 кв.-1 комнатных; 1 кв.- 4-х комнатной) на сумму 117857,38 тыс.руб. Заявки на проведение аукционов будут размещены до 12.09.2016. Подведение итогов аукционов ориентировочно - 21.09.2016 года.</t>
  </si>
  <si>
    <t xml:space="preserve">Оплата субсидий участникам программы будет производиться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 Заключен МК №11/2016 от 31.05.2016г (1 комн.кв, 43,1 м2, 2 268,31 тыс.руб). Оплачен аванс в размере 30% стоимости жилого помещения
</t>
  </si>
  <si>
    <t xml:space="preserve">Работы выполняются согласно заключенному муниципальному контракту с ООО "Строительная компания  СОК" №03/2015 от 19.05.2015. Сумма по контракту - 423 186,003 тыс.руб, на 2015 год - 82 829,0 тыс.руб. Срок выполнения работ - 30 сентября 2016 года. 
Готовность объекта 39,1 %. 
В связи с  необходимостью корректировки видов работ, предусмотренных протоколом договорной цены планируется расторжение МК № 03/2015 от 19.05.2015 г. </t>
  </si>
  <si>
    <r>
      <rPr>
        <u/>
        <sz val="20"/>
        <color theme="1"/>
        <rFont val="Times New Roman"/>
        <family val="1"/>
        <charset val="204"/>
      </rPr>
      <t xml:space="preserve">ДГХ: </t>
    </r>
    <r>
      <rPr>
        <sz val="20"/>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Релизация мероприятия по софинансированию расходов по капитальному ремонту СОШ № 19 запланировано на 4 квартал 2016.
</t>
    </r>
    <r>
      <rPr>
        <u/>
        <sz val="20"/>
        <color theme="1"/>
        <rFont val="Times New Roman"/>
        <family val="1"/>
        <charset val="204"/>
      </rPr>
      <t>Департамент образования</t>
    </r>
    <r>
      <rPr>
        <sz val="20"/>
        <color theme="1"/>
        <rFont val="Times New Roman"/>
        <family val="2"/>
        <charset val="204"/>
      </rPr>
      <t xml:space="preserve">:
Ожидаемый остаток средств в связи с:
1) уменьшением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по причине снижения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снижения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2) экономия по результатам заключения договоров на предоставление доступа к сети Интернет по более низкому тарифу, подлежащая возврату в бюджет автономного округа.
</t>
    </r>
    <r>
      <rPr>
        <u/>
        <sz val="20"/>
        <color theme="1"/>
        <rFont val="Times New Roman"/>
        <family val="1"/>
        <charset val="204"/>
      </rPr>
      <t>ДАиГ:</t>
    </r>
    <r>
      <rPr>
        <sz val="20"/>
        <color theme="1"/>
        <rFont val="Times New Roman"/>
        <family val="2"/>
        <charset val="204"/>
      </rPr>
      <t xml:space="preserve"> 
1.В рамках программы предусмотрены средства за счет местного бюджета на следующие объекты:                                                                                                                                                                                                                                              1.1. Приобретение объекта общего образования "Билдинг-сад на 40 мест, ул.Каролинского, 10".  Ввод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2.В рамках подпрограммы V "Ресурсное обеспечение системы образования, науки и молодежной политики" средства предусмотрены на следующие объекты:                                                           
2.1. На выполнение ПИР по объекту "Средняя общеобразовательная школа в микрорайоне 32 г.Сургута". Ориентировочный срок заключения контракта - ноябрь 2016 года
2.2. На выполнение ПИР по объекту "Средняя общеобразовательная школа в микрорайоне 33 г.Сургута".  Ориентировочный срок заключения контракта - сентябрь 2016 года
</t>
    </r>
  </si>
  <si>
    <r>
      <rPr>
        <u/>
        <sz val="20"/>
        <color theme="1"/>
        <rFont val="Times New Roman"/>
        <family val="1"/>
        <charset val="204"/>
      </rPr>
      <t xml:space="preserve">АГ: </t>
    </r>
    <r>
      <rPr>
        <sz val="20"/>
        <color theme="1"/>
        <rFont val="Times New Roman"/>
        <family val="2"/>
        <charset val="204"/>
      </rPr>
      <t>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согласно заключенным контрактам и договорам . Бюджетные ассигнования будут использованы в полном объеме до конца 2016 года. 
УБУиО(</t>
    </r>
    <r>
      <rPr>
        <u/>
        <sz val="20"/>
        <color theme="1"/>
        <rFont val="Times New Roman"/>
        <family val="1"/>
        <charset val="204"/>
      </rPr>
      <t>ДК):</t>
    </r>
    <r>
      <rPr>
        <sz val="20"/>
        <color theme="1"/>
        <rFont val="Times New Roman"/>
        <family val="1"/>
        <charset val="204"/>
      </rPr>
      <t xml:space="preserve">Реализация подпрограмм "Обеспечение прав граждан на доступ к культурным ценностям и информации" и "Укрепление единого культурного пространства"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color theme="1"/>
        <rFont val="Times New Roman"/>
        <family val="1"/>
        <charset val="204"/>
      </rPr>
      <t>ДАиГ:</t>
    </r>
    <r>
      <rPr>
        <sz val="20"/>
        <color theme="1"/>
        <rFont val="Times New Roman"/>
        <family val="1"/>
        <charset val="204"/>
      </rPr>
      <t>Работы по объекту "Детская школа искусств, мкр. ПИКС" выполняются в соответствии с заключенным муниципальным контрактом с ООО "Сибвитосервис" №18/2014 от 04.10.14 г.  Сумма по контракту - 323 245,6 тыс. руб.  Заключены 17 муниципальных контрактов для комплектации и ввода в эксплуатацию объекта (поставка бытовой техники, мебели, сейфа, электроники, звукового оборудования, металлической мебели, компьютеров и оргтехники, демонстрационного оборудования, аудиторной доски, хозяйственных изделий,  технологического оборудования,  инвентаря, мебели, технологического оборудования) на сумму 37 563,56 тыс.руб. Готовность объекта -100 %. Объект введен в эксплуатацию - 25.08.2016 года. В ходе строительства объекта возникла необходимость в выполнении дополнительных работ, не предусмотренных ПСД, но обязательных для сдачи объекта. Стоимость дополнительных работ - 18 827,49 тыс.рублей. По итогам получения заключения о достоверности стоимости строительства на дополнительный объем работ будет заключено дополнительное соглашение к МК.</t>
    </r>
  </si>
  <si>
    <r>
      <rPr>
        <u/>
        <sz val="20"/>
        <rFont val="Times New Roman"/>
        <family val="2"/>
        <charset val="204"/>
      </rPr>
      <t>УБУиО, ДГХ</t>
    </r>
    <r>
      <rPr>
        <sz val="20"/>
        <rFont val="Times New Roman"/>
        <family val="2"/>
        <charset val="204"/>
      </rPr>
      <t xml:space="preserve"> По состоянию на 01.09.2016 произведена:-выплата вознаграждения 194 приемным родителям (количество получателей ежемесячно уточняется) за январь-июль 2016 года, выплата производится планомерно в течение всего финансового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 44/2 кв.59, ул.Университетская д.25/1 кв.3 из запланированных 4 квартир. Расходы на осуществление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носят заявительный характер, производятся по мере поступления заявлений.По состоянию на 01.09.2016 произведена выплата заработной платы за январь-июль и первую половину августа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в рамках переданных государственных полномочий по образованию и организации деятельности комиссий по делам несовершеннолетних и защите их прав (10 штатных единиц) и на осуществление деятельности по опеке и попечительству (45 штатных единиц).Предоставление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  </t>
    </r>
    <r>
      <rPr>
        <u/>
        <sz val="20"/>
        <rFont val="Times New Roman"/>
        <family val="2"/>
        <charset val="204"/>
      </rPr>
      <t>ДАиГ:</t>
    </r>
    <r>
      <rPr>
        <sz val="20"/>
        <rFont val="Times New Roman"/>
        <family val="2"/>
        <charset val="204"/>
      </rPr>
      <t>Аукцион на приобретение квартир для детей сирот признан несостоявшимся по причине отсутствия заявок на участие. На июньском заседании Думы города по вопросу внесения изменений в бюджет города принято решение  о выделении дополнительных бюджетных ассигнований за счет средств местного бюджета в сумме 15 322,56 тыс.рублей для возможности приобретения жилых помещений.17.08.2016 состоялся аукцион, идет стадия заключения контракта по приобретению 28 жилых помещений. Доведены дополнительные средства окружного бюджета в сумме 8683,79 тыс.руб.</t>
    </r>
    <r>
      <rPr>
        <u/>
        <sz val="20"/>
        <rFont val="Times New Roman"/>
        <family val="1"/>
        <charset val="204"/>
      </rPr>
      <t>ДО:</t>
    </r>
    <r>
      <rPr>
        <sz val="20"/>
        <rFont val="Times New Roman"/>
        <family val="1"/>
        <charset val="204"/>
      </rPr>
      <t>Реализация программы осуществляется в плановом режиме в соответствии с заключенным Соглашением.Планируемая экономия, будет возвращена в бюджет автономного округа и в местный бюджет;
 УБУиО (</t>
    </r>
    <r>
      <rPr>
        <u/>
        <sz val="20"/>
        <rFont val="Times New Roman"/>
        <family val="1"/>
        <charset val="204"/>
      </rPr>
      <t>ДК):</t>
    </r>
    <r>
      <rPr>
        <sz val="20"/>
        <rFont val="Times New Roman"/>
        <family val="1"/>
        <charset val="204"/>
      </rPr>
      <t>Реализация программы  осуществляется в плановом режиме.  Бюджетные ассигнования будут использованы в полном объеме до конца 2016 года.</t>
    </r>
  </si>
  <si>
    <r>
      <t xml:space="preserve">ДО, УБУиО(ДК):Реализация мероприятий осуществляется в плановом режиме согласно заключенным контрактам и договорам. Бюджетные ассигнования будут использованы в полном объеме до конца 2016 года.                                        
</t>
    </r>
    <r>
      <rPr>
        <u/>
        <sz val="20"/>
        <rFont val="Times New Roman"/>
        <family val="1"/>
        <charset val="204"/>
      </rPr>
      <t/>
    </r>
  </si>
  <si>
    <t xml:space="preserve">В списке граждан, имеющих право на получение субсидии за счет средств федерального бюджета по городу Сургуту на 01.01.2016 состоит 512 человек. Планируется в 2016 году предоставить субсидию 14 льготополучателям, из расчета размера субсидии 759 672 рубля.  Средства федерального бюджета до конца года планируется использовать в полном объёме.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По состоянию на 01.09.16 оплачено 3798,36 тыс.рублей на приобретение жилья 5 льготополучателям.  </t>
  </si>
  <si>
    <r>
      <t xml:space="preserve">
</t>
    </r>
    <r>
      <rPr>
        <u/>
        <sz val="20"/>
        <rFont val="Times New Roman"/>
        <family val="1"/>
        <charset val="204"/>
      </rPr>
      <t>ДАиГ:</t>
    </r>
    <r>
      <rPr>
        <sz val="20"/>
        <rFont val="Times New Roman"/>
        <family val="1"/>
        <charset val="204"/>
      </rPr>
      <t xml:space="preserve">
По объекту "Спортивный комплекс с плавательным бассейном 50 м в г. Сургуте" получено положительное заключение по проверке достоверности определения сметной стоимости объекта №86-1-6-0010-16 от 16.02.2016г.
Средств для завершения строительства объекта недостаточно. Потребность составляет 150 494,9 тыс.руб.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Заключен муниципальный контракт № 37/2016 от 14.06.2016 г.  на выполнение работ по завершению строительства объекта. Сумма по контракту 415 049,7 тыс.руб. Согласно графику оплаты, лимит 2016 года - 269 419,1 тыс.руб., лимит 2017 года - 145 630,6 тыс.руб. Срок выполнения работ по 09.12.2016 года.                                                                                                                                             
Готовность объекта - 57%. 
Ориентировочная дата ввода объекта в эксплуатацию -  декабрь 2016 года.
УБУиО (ДК): Реализация программы  осуществляется в плановом режиме.  Бюджетные ассигнования будут использованы в полном объеме до конца 2016 года.</t>
    </r>
  </si>
  <si>
    <r>
      <t>1. Заключен</t>
    </r>
    <r>
      <rPr>
        <sz val="20"/>
        <rFont val="Times New Roman"/>
        <family val="1"/>
        <charset val="204"/>
      </rPr>
      <t xml:space="preserve">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По состоянию на 01.09.2016 в рамках исполнения контракта на оказание услуг по организации ярмарок </t>
    </r>
    <r>
      <rPr>
        <sz val="20"/>
        <color theme="1"/>
        <rFont val="Times New Roman"/>
        <family val="2"/>
        <charset val="204"/>
      </rPr>
      <t>на территории города Сургута с участием субъектов малого и среднего предпринимательства состоялись 3 ярмарки с участием местных товаропроизводителей. В рамках мероприятия "Финансовая поддержка" поддержка в форме субсидий оказана 18 субъектам малого и среднего предпринимательства. Оказаны и оплачены услуги по проведению городского конкурса  "Предпринимательль года".  Ведется работа по информированию субъектов малого и среднего предпринимательства о формах поддержки. Исполнение мероприятий программы запланировано на 3 квартал 2016 года. 
2.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3. На 01.09.2016 года заключены и исполнены 17 договоров (контрактов) на приобретение программно-аппаратного комплекса "Универсальный криптошлюз и межсетевой экран", средств видеонаблюдения, серверного оборудования, поставку и внедрение системы управления электронной очередью для нужд МКУ "МФЦ г. Сургута", мебели для комплектации объекта "Многофункциональный центр предоставления государственных и муниципальных услуг города Сургута", на выполнение работ по ремонту нежилого помещения под нужды МФЦ г. Сургута, на поставку многофункционального устройства, поставку детекторов, на поставку технических средств, серверного оборудования, переферийного оборудования и копировально-множительной техники;
4. В 3 квартале 2016 года ожидается исполнить средства по заключенным контрактам на поставку технических средств, серверного оборудования, переферийного оборудования и копировально-множительной техники.
5. Готовятся заявки на размещение в плане-графике размещения заказов на поставку мебели, программного обеспечения и проведение ремонтных работ в офисе в ТРЦ Сити Молл с исполнением до конца 2016 года. 6.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</si>
  <si>
    <r>
      <rPr>
        <u/>
        <sz val="20"/>
        <color theme="1"/>
        <rFont val="Times New Roman"/>
        <family val="1"/>
        <charset val="204"/>
      </rPr>
      <t>ДГХ:</t>
    </r>
    <r>
      <rPr>
        <sz val="20"/>
        <color theme="1"/>
        <rFont val="Times New Roman"/>
        <family val="2"/>
        <charset val="204"/>
      </rPr>
      <t xml:space="preserve"> 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"Новое кладбище "Чернореченское-2" в г. Сургуте I пусковой комплекс 2 этап строительства". Экономию в сумме 19 445,28 тыс.руб. планируется распределить на другие объекты (МБОУ СОШ №19, МБОУ СОШ №25, МБОУ гимназия "Лаборатория Салахова", МБОУ ДОД "Центр детского творчества", МБДОУ №92 "Веснушка", МБОУ СОШ №26) (согласовано с округом). Экономию в размере 238,37 тыс.руб. планируется к снятию на очередном заседании Думы города.
Планируемая площадь строительства кладбища - 3,01 га.                                                                        
</t>
    </r>
    <r>
      <rPr>
        <u/>
        <sz val="20"/>
        <color theme="1"/>
        <rFont val="Times New Roman"/>
        <family val="1"/>
        <charset val="204"/>
      </rPr>
      <t xml:space="preserve">УПиЭ: </t>
    </r>
    <r>
      <rPr>
        <sz val="20"/>
        <color theme="1"/>
        <rFont val="Times New Roman"/>
        <family val="1"/>
        <charset val="204"/>
      </rPr>
      <t>Ожидаемое неисполнение ожидается по мероприятию "Развитие общественной инфраструктуры и реализация приоритетных направлений развития" в связи со сложившейся экономией по результатам проведения конкурсных процедур на выполнение работ по строительству объекта "Сквер в 5 "А" мкр". Экономию в сумме 4 125,93 тыс.руб. планируется распределить на другие объекты (МБОУ СОШ №19, МБОУ СОШ №25, МБОУ гимназия "Лаборатория Салахова", МБОУ ДОД "Центр детского творчества", МБДОУ №92 "Веснушка", МБОУ СОШ №26) (согласовано с округом).211,71тыс.руб.- средства местного бюджета - экономия возникшая в результате проведения аукциона на выполнение работ по строительству (обустройству) сквера в 5 "А" мкр.
ДО,</t>
    </r>
    <r>
      <rPr>
        <u/>
        <sz val="20"/>
        <color theme="1"/>
        <rFont val="Times New Roman"/>
        <family val="1"/>
        <charset val="204"/>
      </rPr>
      <t>УБУиО(ДК):</t>
    </r>
    <r>
      <rPr>
        <sz val="20"/>
        <color theme="1"/>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Реализация программы  осуществляется в плановом режиме.  Бюджетные ассигнования будут использованы в полном объеме до конца 2016 года.
</t>
    </r>
    <r>
      <rPr>
        <u/>
        <sz val="20"/>
        <color theme="1"/>
        <rFont val="Times New Roman"/>
        <family val="1"/>
        <charset val="204"/>
      </rPr>
      <t/>
    </r>
  </si>
  <si>
    <r>
      <t xml:space="preserve">Государственная программа "Обеспечение доступным и комфортным жильем жителей Ханты-Мансийского автономного округа - Югры в 2016-2020 годах"
</t>
    </r>
    <r>
      <rPr>
        <sz val="20"/>
        <color theme="1"/>
        <rFont val="Times New Roman"/>
        <family val="1"/>
        <charset val="204"/>
      </rPr>
      <t xml:space="preserve">1. Субсидии на мероприятия подпрограммы "Обеспечение жильем молодых семей" федеральной целевой программы "Жилище" на 2011-2020 годы.
2. Субсидии на реализацию полномочий в области строительства, градостроительной деятельности и жилищных отношений (остаток средств).
3. Субсидии на создание наемных домов социального использования (остаток средств).
4.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5.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6. Субсидии на проектирование и строительство объектов инженерной инфраструктуры на территориях, предназначенных для жилищного строительства.
7. Субсидии на реализацию полномочий в области строительства, градостроительной деятельности и жилищных отношений.
8. Субсидии на мероприятия подпрограммы "Обеспечение жильем молодых семей" федеральной целевой программы "Жилище" на 2015–2020 годы.
9. Субсидии на реализацию мероприятия подпрограммы "Обеспечение жильем молодых семей" федеральной целевой программы "Жилище" на 2015-2020 годы
10. Обеспечение жильем граждан, уволенных с военной службы (службы), и приравненных к ним лиц.
11.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12.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13. Субсидии на реализацию мероприятия подпрограммы "Обеспечение жильем молодых семей" федеральной целевой программы "Жилище" на 2015-2020 годы.
 </t>
    </r>
  </si>
  <si>
    <t>Информация о реализации государственных программ Ханты-Мансийского автономного округа - Югры
на территории городского округа город Сургут на 01.09.2016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</si>
</sst>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
    <numFmt numFmtId="166" formatCode="0.0"/>
    <numFmt numFmtId="167" formatCode="&quot;$&quot;#,##0_);\(&quot;$&quot;#,##0\)"/>
    <numFmt numFmtId="168" formatCode="&quot;р.&quot;#,##0_);\(&quot;р.&quot;#,##0\)"/>
    <numFmt numFmtId="169" formatCode="0.0%"/>
  </numFmts>
  <fonts count="6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6"/>
      <color theme="1"/>
      <name val="Times New Roman"/>
      <family val="2"/>
      <charset val="204"/>
    </font>
    <font>
      <sz val="16"/>
      <name val="Times New Roman"/>
      <family val="2"/>
      <charset val="204"/>
    </font>
    <font>
      <sz val="18"/>
      <color theme="1"/>
      <name val="Times New Roman"/>
      <family val="2"/>
      <charset val="204"/>
    </font>
    <font>
      <sz val="16"/>
      <color theme="0"/>
      <name val="Times New Roman"/>
      <family val="2"/>
      <charset val="204"/>
    </font>
    <font>
      <sz val="12"/>
      <color theme="0"/>
      <name val="Times New Roman"/>
      <family val="2"/>
      <charset val="204"/>
    </font>
    <font>
      <sz val="24"/>
      <color theme="1"/>
      <name val="Times New Roman"/>
      <family val="2"/>
      <charset val="204"/>
    </font>
    <font>
      <sz val="20"/>
      <color theme="1"/>
      <name val="Times New Roman"/>
      <family val="2"/>
      <charset val="204"/>
    </font>
    <font>
      <sz val="16"/>
      <color theme="1"/>
      <name val="Times New Roman"/>
      <family val="1"/>
      <charset val="204"/>
    </font>
    <font>
      <u/>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b/>
      <sz val="18"/>
      <color theme="1"/>
      <name val="Times New Roman"/>
      <family val="2"/>
      <charset val="204"/>
    </font>
    <font>
      <b/>
      <sz val="18"/>
      <color theme="9" tint="0.79998168889431442"/>
      <name val="Times New Roman"/>
      <family val="2"/>
      <charset val="204"/>
    </font>
    <font>
      <i/>
      <sz val="18"/>
      <color theme="1"/>
      <name val="Times New Roman"/>
      <family val="2"/>
      <charset val="204"/>
    </font>
    <font>
      <sz val="18"/>
      <color theme="9" tint="0.79998168889431442"/>
      <name val="Times New Roman"/>
      <family val="2"/>
      <charset val="204"/>
    </font>
    <font>
      <b/>
      <i/>
      <sz val="18"/>
      <color theme="1"/>
      <name val="Times New Roman"/>
      <family val="2"/>
      <charset val="204"/>
    </font>
    <font>
      <sz val="17"/>
      <color theme="1"/>
      <name val="Times New Roman"/>
      <family val="2"/>
      <charset val="204"/>
    </font>
    <font>
      <b/>
      <sz val="9"/>
      <color indexed="81"/>
      <name val="Tahoma"/>
      <family val="2"/>
      <charset val="204"/>
    </font>
    <font>
      <sz val="9"/>
      <color indexed="81"/>
      <name val="Tahoma"/>
      <family val="2"/>
      <charset val="204"/>
    </font>
    <font>
      <i/>
      <sz val="18"/>
      <color rgb="FF00B050"/>
      <name val="Times New Roman"/>
      <family val="2"/>
      <charset val="204"/>
    </font>
    <font>
      <sz val="18"/>
      <color rgb="FF00B050"/>
      <name val="Times New Roman"/>
      <family val="2"/>
      <charset val="204"/>
    </font>
    <font>
      <i/>
      <sz val="20"/>
      <color theme="1"/>
      <name val="Times New Roman"/>
      <family val="1"/>
      <charset val="204"/>
    </font>
    <font>
      <u/>
      <sz val="20"/>
      <color theme="1"/>
      <name val="Times New Roman"/>
      <family val="1"/>
      <charset val="204"/>
    </font>
    <font>
      <b/>
      <sz val="18"/>
      <name val="Times New Roman"/>
      <family val="2"/>
      <charset val="204"/>
    </font>
    <font>
      <sz val="18"/>
      <name val="Times New Roman"/>
      <family val="2"/>
      <charset val="204"/>
    </font>
    <font>
      <b/>
      <i/>
      <sz val="18"/>
      <name val="Times New Roman"/>
      <family val="2"/>
      <charset val="204"/>
    </font>
    <font>
      <i/>
      <sz val="18"/>
      <name val="Times New Roman"/>
      <family val="2"/>
      <charset val="204"/>
    </font>
    <font>
      <i/>
      <sz val="18"/>
      <name val="Times New Roman"/>
      <family val="1"/>
      <charset val="204"/>
    </font>
    <font>
      <sz val="18"/>
      <name val="Times New Roman"/>
      <family val="1"/>
      <charset val="204"/>
    </font>
    <font>
      <b/>
      <sz val="18"/>
      <name val="Times New Roman"/>
      <family val="1"/>
      <charset val="204"/>
    </font>
    <font>
      <sz val="20"/>
      <name val="Times New Roman"/>
      <family val="1"/>
      <charset val="204"/>
    </font>
    <font>
      <u/>
      <sz val="20"/>
      <name val="Times New Roman"/>
      <family val="1"/>
      <charset val="204"/>
    </font>
    <font>
      <u/>
      <sz val="18"/>
      <color theme="1"/>
      <name val="Times New Roman"/>
      <family val="2"/>
      <charset val="204"/>
    </font>
    <font>
      <sz val="18"/>
      <color theme="1"/>
      <name val="Times New Roman"/>
      <family val="1"/>
      <charset val="204"/>
    </font>
    <font>
      <u/>
      <sz val="20"/>
      <name val="Times New Roman"/>
      <family val="2"/>
      <charset val="204"/>
    </font>
    <font>
      <sz val="24"/>
      <color indexed="81"/>
      <name val="Tahoma"/>
      <family val="2"/>
      <charset val="204"/>
    </font>
    <font>
      <sz val="18"/>
      <color indexed="81"/>
      <name val="Tahoma"/>
      <family val="2"/>
      <charset val="204"/>
    </font>
    <font>
      <i/>
      <sz val="20"/>
      <name val="Times New Roman"/>
      <family val="2"/>
      <charset val="204"/>
    </font>
    <font>
      <b/>
      <i/>
      <sz val="20"/>
      <name val="Times New Roman"/>
      <family val="2"/>
      <charset val="204"/>
    </font>
    <font>
      <i/>
      <sz val="20"/>
      <color rgb="FF00B050"/>
      <name val="Times New Roman"/>
      <family val="2"/>
      <charset val="204"/>
    </font>
  </fonts>
  <fills count="8">
    <fill>
      <patternFill patternType="none"/>
    </fill>
    <fill>
      <patternFill patternType="gray125"/>
    </fill>
    <fill>
      <patternFill patternType="solid">
        <fgColor indexed="15"/>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9FF99"/>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56">
    <xf numFmtId="0" fontId="0" fillId="0" borderId="0" xfId="0"/>
    <xf numFmtId="2" fontId="0" fillId="0" borderId="1" xfId="0" applyNumberFormat="1" applyBorder="1" applyAlignment="1">
      <alignment horizontal="center" vertical="center" wrapText="1"/>
    </xf>
    <xf numFmtId="0" fontId="0" fillId="0" borderId="0" xfId="0" applyAlignment="1">
      <alignment horizontal="left"/>
    </xf>
    <xf numFmtId="4" fontId="15" fillId="3" borderId="1" xfId="0" quotePrefix="1"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0" fillId="0" borderId="0" xfId="0" applyAlignment="1">
      <alignment horizontal="right"/>
    </xf>
    <xf numFmtId="1" fontId="16" fillId="0" borderId="1" xfId="0" applyNumberFormat="1" applyFont="1" applyBorder="1" applyAlignment="1">
      <alignment horizontal="center" vertical="center" wrapText="1"/>
    </xf>
    <xf numFmtId="2" fontId="16" fillId="0" borderId="1" xfId="0" applyNumberFormat="1" applyFont="1" applyBorder="1" applyAlignment="1">
      <alignment horizontal="left" vertical="center" wrapText="1"/>
    </xf>
    <xf numFmtId="2" fontId="16"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0" xfId="0" applyFont="1"/>
    <xf numFmtId="2" fontId="17"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6" fillId="0" borderId="1" xfId="0" applyNumberFormat="1" applyFont="1" applyBorder="1" applyAlignment="1">
      <alignment horizontal="center" vertical="center" wrapText="1"/>
    </xf>
    <xf numFmtId="2" fontId="16" fillId="3" borderId="1" xfId="0" applyNumberFormat="1" applyFont="1" applyFill="1" applyBorder="1" applyAlignment="1">
      <alignment horizontal="center" vertical="center" wrapText="1"/>
    </xf>
    <xf numFmtId="2" fontId="16" fillId="0" borderId="1" xfId="0" applyNumberFormat="1" applyFont="1" applyBorder="1" applyAlignment="1">
      <alignment horizontal="center" vertical="center" wrapText="1"/>
    </xf>
    <xf numFmtId="0" fontId="0" fillId="3" borderId="0" xfId="0" applyFill="1"/>
    <xf numFmtId="2" fontId="0" fillId="3" borderId="1" xfId="0" applyNumberFormat="1" applyFill="1" applyBorder="1" applyAlignment="1">
      <alignment horizontal="center" vertical="center" wrapText="1"/>
    </xf>
    <xf numFmtId="2"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20" fillId="0" borderId="0" xfId="0" applyFont="1"/>
    <xf numFmtId="4" fontId="19" fillId="0" borderId="0" xfId="0" applyNumberFormat="1" applyFont="1"/>
    <xf numFmtId="0" fontId="19" fillId="0" borderId="0" xfId="0" applyFont="1"/>
    <xf numFmtId="4" fontId="20" fillId="0" borderId="0" xfId="0" applyNumberFormat="1" applyFont="1"/>
    <xf numFmtId="4" fontId="22" fillId="3" borderId="0" xfId="0" applyNumberFormat="1" applyFont="1" applyFill="1" applyBorder="1" applyAlignment="1" applyProtection="1">
      <alignment horizontal="right" wrapText="1"/>
      <protection locked="0"/>
    </xf>
    <xf numFmtId="2" fontId="16" fillId="0" borderId="1" xfId="0" applyNumberFormat="1" applyFont="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21" fillId="3" borderId="0" xfId="0" applyFont="1" applyFill="1" applyAlignment="1">
      <alignment horizontal="right" wrapText="1"/>
    </xf>
    <xf numFmtId="0" fontId="22" fillId="0" borderId="0" xfId="0" applyFont="1" applyFill="1" applyBorder="1" applyAlignment="1">
      <alignment horizontal="center" wrapText="1"/>
    </xf>
    <xf numFmtId="0" fontId="22" fillId="0" borderId="0" xfId="0" applyFont="1" applyFill="1" applyBorder="1" applyAlignment="1">
      <alignment wrapText="1"/>
    </xf>
    <xf numFmtId="4" fontId="22" fillId="0" borderId="0" xfId="0" applyNumberFormat="1" applyFont="1" applyFill="1" applyBorder="1" applyAlignment="1">
      <alignment wrapText="1"/>
    </xf>
    <xf numFmtId="2" fontId="22" fillId="0" borderId="0" xfId="0" applyNumberFormat="1" applyFont="1" applyFill="1" applyBorder="1" applyAlignment="1">
      <alignment wrapText="1"/>
    </xf>
    <xf numFmtId="9" fontId="22" fillId="0" borderId="0" xfId="0" applyNumberFormat="1" applyFont="1" applyFill="1" applyBorder="1" applyAlignment="1">
      <alignment wrapText="1"/>
    </xf>
    <xf numFmtId="9" fontId="22" fillId="3" borderId="0" xfId="0" applyNumberFormat="1" applyFont="1" applyFill="1" applyBorder="1" applyAlignment="1">
      <alignment wrapText="1"/>
    </xf>
    <xf numFmtId="0" fontId="22" fillId="0" borderId="0" xfId="0" applyFont="1" applyFill="1" applyAlignment="1">
      <alignment wrapText="1"/>
    </xf>
    <xf numFmtId="0" fontId="22" fillId="0" borderId="0" xfId="0" applyFont="1" applyFill="1" applyBorder="1" applyAlignment="1" applyProtection="1">
      <alignment horizontal="center" vertical="center" wrapText="1"/>
      <protection locked="0"/>
    </xf>
    <xf numFmtId="4" fontId="22" fillId="0" borderId="0" xfId="0" applyNumberFormat="1" applyFont="1" applyFill="1" applyBorder="1" applyAlignment="1" applyProtection="1">
      <alignment horizontal="center" vertical="center" wrapText="1"/>
      <protection locked="0"/>
    </xf>
    <xf numFmtId="9" fontId="22" fillId="0" borderId="0" xfId="0" applyNumberFormat="1" applyFont="1" applyFill="1" applyBorder="1" applyAlignment="1" applyProtection="1">
      <alignment horizontal="right" vertical="center" wrapText="1"/>
      <protection locked="0"/>
    </xf>
    <xf numFmtId="1" fontId="22" fillId="3" borderId="0" xfId="0" applyNumberFormat="1" applyFont="1" applyFill="1" applyBorder="1" applyAlignment="1" applyProtection="1">
      <alignment horizontal="right" vertical="center" wrapText="1"/>
      <protection locked="0"/>
    </xf>
    <xf numFmtId="9" fontId="22" fillId="3" borderId="0" xfId="0" applyNumberFormat="1" applyFont="1" applyFill="1" applyBorder="1" applyAlignment="1" applyProtection="1">
      <alignment horizontal="right" vertical="center" wrapText="1"/>
      <protection locked="0"/>
    </xf>
    <xf numFmtId="0" fontId="22" fillId="3" borderId="0" xfId="0" applyFont="1" applyFill="1" applyAlignment="1">
      <alignment horizontal="left" vertical="top" wrapText="1"/>
    </xf>
    <xf numFmtId="2" fontId="22" fillId="3" borderId="1" xfId="0" applyNumberFormat="1" applyFont="1" applyFill="1" applyBorder="1" applyAlignment="1" applyProtection="1">
      <alignment horizontal="center" vertical="top" wrapText="1"/>
      <protection locked="0"/>
    </xf>
    <xf numFmtId="9" fontId="22" fillId="3" borderId="1" xfId="0" applyNumberFormat="1" applyFont="1" applyFill="1" applyBorder="1" applyAlignment="1" applyProtection="1">
      <alignment horizontal="center" vertical="top" wrapText="1"/>
      <protection locked="0"/>
    </xf>
    <xf numFmtId="4" fontId="22" fillId="3" borderId="1" xfId="0" applyNumberFormat="1" applyFont="1" applyFill="1" applyBorder="1" applyAlignment="1" applyProtection="1">
      <alignment horizontal="center" vertical="top" wrapText="1"/>
      <protection locked="0"/>
    </xf>
    <xf numFmtId="9" fontId="22" fillId="3" borderId="5" xfId="0" applyNumberFormat="1"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center" wrapText="1"/>
      <protection locked="0"/>
    </xf>
    <xf numFmtId="3" fontId="25" fillId="0" borderId="1" xfId="0" applyNumberFormat="1" applyFont="1" applyFill="1" applyBorder="1" applyAlignment="1" applyProtection="1">
      <alignment horizontal="center" vertical="center" wrapText="1"/>
      <protection locked="0"/>
    </xf>
    <xf numFmtId="3" fontId="25" fillId="0" borderId="5" xfId="0" applyNumberFormat="1" applyFont="1" applyFill="1" applyBorder="1" applyAlignment="1" applyProtection="1">
      <alignment horizontal="center" vertical="center" wrapText="1"/>
      <protection locked="0"/>
    </xf>
    <xf numFmtId="1"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top" wrapText="1"/>
      <protection locked="0"/>
    </xf>
    <xf numFmtId="0" fontId="25" fillId="3" borderId="1" xfId="0" applyFont="1" applyFill="1" applyBorder="1" applyAlignment="1" applyProtection="1">
      <alignment horizontal="center" vertical="top" wrapText="1"/>
      <protection locked="0"/>
    </xf>
    <xf numFmtId="3" fontId="25" fillId="3" borderId="5" xfId="0" applyNumberFormat="1" applyFont="1" applyFill="1" applyBorder="1" applyAlignment="1" applyProtection="1">
      <alignment horizontal="center" vertical="center" wrapText="1"/>
      <protection locked="0"/>
    </xf>
    <xf numFmtId="0" fontId="25" fillId="0" borderId="0" xfId="0" applyFont="1" applyFill="1" applyAlignment="1">
      <alignment horizontal="left" vertical="top" wrapText="1"/>
    </xf>
    <xf numFmtId="0" fontId="26" fillId="3" borderId="4" xfId="0" applyFont="1" applyFill="1" applyBorder="1" applyAlignment="1" applyProtection="1">
      <alignment vertical="center" wrapText="1"/>
      <protection locked="0"/>
    </xf>
    <xf numFmtId="4" fontId="26" fillId="3" borderId="1" xfId="0" applyNumberFormat="1" applyFont="1" applyFill="1" applyBorder="1" applyAlignment="1" applyProtection="1">
      <alignment horizontal="center" vertical="center" wrapText="1"/>
      <protection locked="0"/>
    </xf>
    <xf numFmtId="4" fontId="26" fillId="0" borderId="1" xfId="0" applyNumberFormat="1" applyFont="1" applyFill="1" applyBorder="1" applyAlignment="1" applyProtection="1">
      <alignment horizontal="center" vertical="center" wrapText="1"/>
      <protection locked="0"/>
    </xf>
    <xf numFmtId="4" fontId="26" fillId="3" borderId="4" xfId="0" applyNumberFormat="1" applyFont="1" applyFill="1" applyBorder="1" applyAlignment="1" applyProtection="1">
      <alignment vertical="top" wrapText="1"/>
      <protection locked="0"/>
    </xf>
    <xf numFmtId="0" fontId="26" fillId="4" borderId="0" xfId="0" applyFont="1" applyFill="1" applyAlignment="1">
      <alignment horizontal="left" vertical="top" wrapText="1"/>
    </xf>
    <xf numFmtId="0" fontId="22" fillId="3" borderId="1" xfId="0" applyFont="1" applyFill="1" applyBorder="1" applyAlignment="1" applyProtection="1">
      <alignment horizontal="left" vertical="center" wrapText="1"/>
      <protection locked="0"/>
    </xf>
    <xf numFmtId="4" fontId="22" fillId="0" borderId="1" xfId="0" applyNumberFormat="1" applyFont="1" applyFill="1" applyBorder="1" applyAlignment="1" applyProtection="1">
      <alignment horizontal="center" vertical="center" wrapText="1"/>
      <protection locked="0"/>
    </xf>
    <xf numFmtId="4" fontId="26" fillId="3" borderId="2" xfId="0" applyNumberFormat="1" applyFont="1" applyFill="1" applyBorder="1" applyAlignment="1" applyProtection="1">
      <alignment vertical="top" wrapText="1"/>
      <protection locked="0"/>
    </xf>
    <xf numFmtId="0" fontId="22" fillId="4" borderId="0" xfId="0" applyFont="1" applyFill="1" applyAlignment="1">
      <alignment horizontal="left" vertical="top" wrapText="1"/>
    </xf>
    <xf numFmtId="4" fontId="26" fillId="3" borderId="3" xfId="0" applyNumberFormat="1" applyFont="1" applyFill="1" applyBorder="1" applyAlignment="1" applyProtection="1">
      <alignment vertical="top" wrapText="1"/>
      <protection locked="0"/>
    </xf>
    <xf numFmtId="0" fontId="26" fillId="0" borderId="1" xfId="0" applyFont="1" applyFill="1" applyBorder="1" applyAlignment="1" applyProtection="1">
      <alignment horizontal="left" vertical="center" wrapText="1"/>
      <protection locked="0"/>
    </xf>
    <xf numFmtId="9" fontId="26" fillId="0" borderId="1" xfId="0" applyNumberFormat="1"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9" fontId="26" fillId="0" borderId="9" xfId="0" applyNumberFormat="1" applyFont="1" applyFill="1" applyBorder="1" applyAlignment="1" applyProtection="1">
      <alignment horizontal="center" vertical="center" wrapText="1"/>
      <protection locked="0"/>
    </xf>
    <xf numFmtId="0" fontId="26" fillId="3" borderId="0" xfId="0" applyFont="1" applyFill="1" applyAlignment="1">
      <alignment horizontal="left" vertical="top" wrapText="1"/>
    </xf>
    <xf numFmtId="9" fontId="22" fillId="0" borderId="1" xfId="0" applyNumberFormat="1" applyFont="1" applyFill="1" applyBorder="1" applyAlignment="1" applyProtection="1">
      <alignment horizontal="center" vertical="center" wrapText="1"/>
      <protection locked="0"/>
    </xf>
    <xf numFmtId="9" fontId="22" fillId="0" borderId="5" xfId="0" applyNumberFormat="1" applyFont="1" applyFill="1" applyBorder="1" applyAlignment="1" applyProtection="1">
      <alignment horizontal="center" vertical="center" wrapText="1"/>
      <protection locked="0"/>
    </xf>
    <xf numFmtId="9" fontId="22" fillId="0" borderId="10" xfId="0" applyNumberFormat="1" applyFont="1" applyFill="1" applyBorder="1" applyAlignment="1" applyProtection="1">
      <alignment horizontal="center" vertical="center" wrapText="1"/>
      <protection locked="0"/>
    </xf>
    <xf numFmtId="0" fontId="22" fillId="2" borderId="0" xfId="0" applyFont="1" applyFill="1" applyAlignment="1">
      <alignment horizontal="left" vertical="top" wrapText="1"/>
    </xf>
    <xf numFmtId="0" fontId="22" fillId="0" borderId="4" xfId="0" applyFont="1" applyFill="1" applyBorder="1" applyAlignment="1" applyProtection="1">
      <alignment horizontal="center" vertical="center" wrapText="1"/>
      <protection locked="0"/>
    </xf>
    <xf numFmtId="9" fontId="27" fillId="0" borderId="1" xfId="0" applyNumberFormat="1" applyFont="1" applyFill="1" applyBorder="1" applyAlignment="1" applyProtection="1">
      <alignment horizontal="center" vertical="center" wrapText="1"/>
      <protection locked="0"/>
    </xf>
    <xf numFmtId="9" fontId="27" fillId="0" borderId="5" xfId="0" applyNumberFormat="1" applyFont="1" applyFill="1" applyBorder="1" applyAlignment="1" applyProtection="1">
      <alignment horizontal="center" vertical="center" wrapText="1"/>
      <protection locked="0"/>
    </xf>
    <xf numFmtId="4" fontId="26" fillId="0" borderId="9" xfId="0" applyNumberFormat="1" applyFont="1" applyFill="1" applyBorder="1" applyAlignment="1" applyProtection="1">
      <alignment horizontal="center" vertical="center" wrapText="1"/>
      <protection locked="0"/>
    </xf>
    <xf numFmtId="0" fontId="22" fillId="3" borderId="0" xfId="0" applyFont="1" applyFill="1" applyAlignment="1">
      <alignment wrapText="1"/>
    </xf>
    <xf numFmtId="0" fontId="22" fillId="0" borderId="2" xfId="0" applyFont="1" applyFill="1" applyBorder="1" applyAlignment="1" applyProtection="1">
      <alignment horizontal="center" vertical="center" wrapText="1"/>
      <protection locked="0"/>
    </xf>
    <xf numFmtId="4" fontId="26" fillId="0" borderId="3" xfId="0" applyNumberFormat="1" applyFont="1" applyFill="1" applyBorder="1" applyAlignment="1" applyProtection="1">
      <alignment horizontal="center" vertical="center" wrapText="1"/>
      <protection locked="0"/>
    </xf>
    <xf numFmtId="9" fontId="27" fillId="0" borderId="10" xfId="0" applyNumberFormat="1" applyFont="1" applyFill="1" applyBorder="1" applyAlignment="1" applyProtection="1">
      <alignment horizontal="center" vertical="center" wrapText="1"/>
      <protection locked="0"/>
    </xf>
    <xf numFmtId="0" fontId="22" fillId="0" borderId="2" xfId="0" applyFont="1" applyFill="1" applyBorder="1" applyAlignment="1" applyProtection="1">
      <alignment vertical="center" wrapText="1"/>
      <protection locked="0"/>
    </xf>
    <xf numFmtId="4" fontId="22" fillId="0" borderId="3" xfId="0" applyNumberFormat="1" applyFont="1" applyFill="1" applyBorder="1" applyAlignment="1" applyProtection="1">
      <alignment horizontal="center" vertical="center" wrapText="1"/>
      <protection locked="0"/>
    </xf>
    <xf numFmtId="4" fontId="22" fillId="0" borderId="9" xfId="0" applyNumberFormat="1"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center" vertical="center" wrapText="1"/>
      <protection locked="0"/>
    </xf>
    <xf numFmtId="9" fontId="28" fillId="0" borderId="1" xfId="0" applyNumberFormat="1" applyFont="1" applyFill="1" applyBorder="1" applyAlignment="1" applyProtection="1">
      <alignment horizontal="center" vertical="center" wrapText="1"/>
      <protection locked="0"/>
    </xf>
    <xf numFmtId="9" fontId="28" fillId="0" borderId="5" xfId="0" applyNumberFormat="1" applyFont="1" applyFill="1" applyBorder="1" applyAlignment="1" applyProtection="1">
      <alignment horizontal="center" vertical="center" wrapText="1"/>
      <protection locked="0"/>
    </xf>
    <xf numFmtId="4" fontId="27" fillId="0" borderId="9"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left" vertical="center" wrapText="1"/>
      <protection locked="0"/>
    </xf>
    <xf numFmtId="0" fontId="26" fillId="0" borderId="2" xfId="0" applyFont="1" applyFill="1" applyBorder="1" applyAlignment="1" applyProtection="1">
      <alignment vertical="center" wrapText="1"/>
      <protection locked="0"/>
    </xf>
    <xf numFmtId="4" fontId="22" fillId="0" borderId="4" xfId="0" applyNumberFormat="1" applyFont="1" applyFill="1" applyBorder="1" applyAlignment="1" applyProtection="1">
      <alignment horizontal="center"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9" xfId="0" applyNumberFormat="1" applyFont="1" applyFill="1" applyBorder="1" applyAlignment="1" applyProtection="1">
      <alignment horizontal="center" vertical="center" wrapText="1"/>
      <protection locked="0"/>
    </xf>
    <xf numFmtId="0" fontId="26" fillId="0" borderId="6" xfId="0" applyFont="1" applyFill="1" applyBorder="1" applyAlignment="1" applyProtection="1">
      <alignment horizontal="left" vertical="center" wrapText="1"/>
      <protection locked="0"/>
    </xf>
    <xf numFmtId="2" fontId="26" fillId="0" borderId="1" xfId="0" applyNumberFormat="1" applyFont="1" applyFill="1" applyBorder="1" applyAlignment="1" applyProtection="1">
      <alignment horizontal="center" vertical="center" wrapText="1"/>
      <protection locked="0"/>
    </xf>
    <xf numFmtId="9" fontId="29" fillId="0" borderId="5" xfId="0" applyNumberFormat="1" applyFont="1" applyFill="1" applyBorder="1" applyAlignment="1" applyProtection="1">
      <alignment horizontal="center" vertical="center" wrapText="1"/>
      <protection locked="0"/>
    </xf>
    <xf numFmtId="0" fontId="26" fillId="2" borderId="0" xfId="0" applyFont="1" applyFill="1" applyAlignment="1">
      <alignment horizontal="left" vertical="center" wrapText="1"/>
    </xf>
    <xf numFmtId="0" fontId="26" fillId="0" borderId="4" xfId="0" applyFont="1" applyFill="1" applyBorder="1" applyAlignment="1" applyProtection="1">
      <alignment horizontal="left" vertical="top" wrapText="1"/>
      <protection locked="0"/>
    </xf>
    <xf numFmtId="0" fontId="22" fillId="3" borderId="6" xfId="0" applyFont="1" applyFill="1" applyBorder="1" applyAlignment="1" applyProtection="1">
      <alignment horizontal="left" vertical="center" wrapText="1"/>
      <protection locked="0"/>
    </xf>
    <xf numFmtId="169" fontId="22" fillId="0" borderId="1" xfId="0" applyNumberFormat="1" applyFont="1" applyFill="1" applyBorder="1" applyAlignment="1" applyProtection="1">
      <alignment horizontal="center" vertical="center" wrapText="1"/>
      <protection locked="0"/>
    </xf>
    <xf numFmtId="9" fontId="22" fillId="0" borderId="7"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center" wrapText="1"/>
      <protection locked="0"/>
    </xf>
    <xf numFmtId="9" fontId="30" fillId="0" borderId="1" xfId="0" applyNumberFormat="1" applyFont="1" applyFill="1" applyBorder="1" applyAlignment="1" applyProtection="1">
      <alignment horizontal="center" vertical="center" wrapText="1"/>
      <protection locked="0"/>
    </xf>
    <xf numFmtId="9" fontId="30" fillId="0" borderId="5" xfId="0" applyNumberFormat="1" applyFont="1" applyFill="1" applyBorder="1" applyAlignment="1" applyProtection="1">
      <alignment horizontal="center" vertical="center" wrapText="1"/>
      <protection locked="0"/>
    </xf>
    <xf numFmtId="0" fontId="26" fillId="0" borderId="2" xfId="0" quotePrefix="1" applyFont="1" applyFill="1" applyBorder="1" applyAlignment="1" applyProtection="1">
      <alignment horizontal="center" vertical="center" wrapText="1"/>
      <protection locked="0"/>
    </xf>
    <xf numFmtId="0" fontId="22" fillId="5" borderId="0" xfId="0" applyFont="1" applyFill="1" applyAlignment="1">
      <alignment horizontal="left" vertical="top" wrapText="1"/>
    </xf>
    <xf numFmtId="0" fontId="26" fillId="0" borderId="3" xfId="0" applyFont="1" applyFill="1" applyBorder="1" applyAlignment="1" applyProtection="1">
      <alignment vertical="center" wrapText="1"/>
      <protection locked="0"/>
    </xf>
    <xf numFmtId="4" fontId="22" fillId="0" borderId="2" xfId="0" applyNumberFormat="1" applyFont="1" applyFill="1" applyBorder="1" applyAlignment="1" applyProtection="1">
      <alignment horizontal="center" vertical="center" wrapText="1"/>
      <protection locked="0"/>
    </xf>
    <xf numFmtId="0" fontId="25" fillId="5" borderId="0" xfId="0" applyFont="1" applyFill="1" applyAlignment="1">
      <alignment horizontal="left" vertical="center" wrapText="1"/>
    </xf>
    <xf numFmtId="2" fontId="30" fillId="0" borderId="1" xfId="0" applyNumberFormat="1" applyFont="1" applyFill="1" applyBorder="1" applyAlignment="1" applyProtection="1">
      <alignment horizontal="center" vertical="center" wrapText="1"/>
      <protection locked="0"/>
    </xf>
    <xf numFmtId="0" fontId="27" fillId="3" borderId="0" xfId="0" applyFont="1" applyFill="1" applyAlignment="1">
      <alignment horizontal="left" vertical="center" wrapText="1"/>
    </xf>
    <xf numFmtId="0" fontId="22" fillId="0" borderId="4" xfId="0" applyFont="1" applyFill="1" applyBorder="1" applyAlignment="1" applyProtection="1">
      <alignment vertical="center" wrapText="1"/>
      <protection locked="0"/>
    </xf>
    <xf numFmtId="0" fontId="25" fillId="3" borderId="0" xfId="0" applyFont="1" applyFill="1" applyAlignment="1">
      <alignment horizontal="left" vertical="center" wrapText="1"/>
    </xf>
    <xf numFmtId="0" fontId="31" fillId="0" borderId="4"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4" fontId="31" fillId="0" borderId="1" xfId="0" applyNumberFormat="1" applyFont="1" applyFill="1" applyBorder="1" applyAlignment="1" applyProtection="1">
      <alignment horizontal="center" vertical="center" wrapText="1"/>
      <protection locked="0"/>
    </xf>
    <xf numFmtId="9" fontId="31" fillId="0" borderId="1" xfId="0" applyNumberFormat="1" applyFont="1" applyFill="1" applyBorder="1" applyAlignment="1" applyProtection="1">
      <alignment horizontal="center" vertical="center" wrapText="1"/>
      <protection locked="0"/>
    </xf>
    <xf numFmtId="9" fontId="31" fillId="0" borderId="5"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4" fontId="32" fillId="0" borderId="1" xfId="0" applyNumberFormat="1" applyFont="1" applyFill="1" applyBorder="1" applyAlignment="1" applyProtection="1">
      <alignment horizontal="center" vertical="center" wrapText="1"/>
      <protection locked="0"/>
    </xf>
    <xf numFmtId="9" fontId="32" fillId="0" borderId="3" xfId="0" applyNumberFormat="1" applyFont="1" applyFill="1" applyBorder="1" applyAlignment="1" applyProtection="1">
      <alignment horizontal="center" vertical="center" wrapText="1"/>
      <protection locked="0"/>
    </xf>
    <xf numFmtId="9" fontId="32" fillId="0" borderId="7"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vertical="center" wrapText="1"/>
      <protection locked="0"/>
    </xf>
    <xf numFmtId="4" fontId="31" fillId="0" borderId="3" xfId="0" applyNumberFormat="1"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27" fillId="5" borderId="0" xfId="0" applyFont="1" applyFill="1" applyAlignment="1">
      <alignment horizontal="left" vertical="center" wrapText="1"/>
    </xf>
    <xf numFmtId="9" fontId="28" fillId="0" borderId="3" xfId="0"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center" vertical="center" wrapText="1"/>
      <protection locked="0"/>
    </xf>
    <xf numFmtId="4" fontId="29" fillId="0" borderId="1" xfId="0" applyNumberFormat="1" applyFont="1" applyFill="1" applyBorder="1" applyAlignment="1" applyProtection="1">
      <alignment horizontal="center" vertical="center" wrapText="1"/>
      <protection locked="0"/>
    </xf>
    <xf numFmtId="0" fontId="25" fillId="3" borderId="0" xfId="0" applyFont="1" applyFill="1" applyAlignment="1">
      <alignment horizontal="left" vertical="top" wrapText="1"/>
    </xf>
    <xf numFmtId="0" fontId="22" fillId="3" borderId="4" xfId="0" applyFont="1" applyFill="1" applyBorder="1" applyAlignment="1" applyProtection="1">
      <alignment horizontal="left" vertical="center" wrapText="1"/>
      <protection locked="0"/>
    </xf>
    <xf numFmtId="0" fontId="27" fillId="3" borderId="0" xfId="0" applyFont="1" applyFill="1" applyAlignment="1">
      <alignment horizontal="left" vertical="top" wrapText="1"/>
    </xf>
    <xf numFmtId="0" fontId="26" fillId="3" borderId="0" xfId="0" applyFont="1" applyFill="1" applyAlignment="1">
      <alignment horizontal="left" vertical="center" wrapText="1"/>
    </xf>
    <xf numFmtId="0" fontId="22" fillId="0" borderId="0" xfId="0" applyFont="1" applyFill="1" applyAlignment="1">
      <alignment horizontal="center" wrapText="1"/>
    </xf>
    <xf numFmtId="4" fontId="22" fillId="0" borderId="0" xfId="0" applyNumberFormat="1" applyFont="1" applyFill="1" applyAlignment="1">
      <alignment wrapText="1"/>
    </xf>
    <xf numFmtId="2" fontId="22" fillId="0" borderId="0" xfId="0" applyNumberFormat="1" applyFont="1" applyFill="1" applyAlignment="1">
      <alignment wrapText="1"/>
    </xf>
    <xf numFmtId="9" fontId="22" fillId="0" borderId="0" xfId="0" applyNumberFormat="1" applyFont="1" applyFill="1" applyAlignment="1">
      <alignment wrapText="1"/>
    </xf>
    <xf numFmtId="9" fontId="22" fillId="3" borderId="0" xfId="0" applyNumberFormat="1" applyFont="1" applyFill="1" applyAlignment="1">
      <alignment wrapText="1"/>
    </xf>
    <xf numFmtId="0" fontId="22" fillId="3" borderId="0" xfId="0" applyFont="1" applyFill="1" applyAlignment="1">
      <alignment horizontal="center" wrapText="1"/>
    </xf>
    <xf numFmtId="4" fontId="22" fillId="3" borderId="0" xfId="0" applyNumberFormat="1" applyFont="1" applyFill="1" applyAlignment="1">
      <alignment wrapText="1"/>
    </xf>
    <xf numFmtId="2" fontId="22" fillId="3" borderId="0" xfId="0" applyNumberFormat="1" applyFont="1" applyFill="1" applyAlignment="1">
      <alignment wrapText="1"/>
    </xf>
    <xf numFmtId="4" fontId="33" fillId="0" borderId="1" xfId="0" applyNumberFormat="1" applyFont="1" applyFill="1" applyBorder="1" applyAlignment="1" applyProtection="1">
      <alignment horizontal="center" vertical="center" wrapText="1"/>
      <protection locked="0"/>
    </xf>
    <xf numFmtId="9" fontId="33" fillId="0" borderId="1" xfId="0" applyNumberFormat="1" applyFont="1" applyFill="1" applyBorder="1" applyAlignment="1" applyProtection="1">
      <alignment horizontal="center" vertical="center" wrapText="1"/>
      <protection locked="0"/>
    </xf>
    <xf numFmtId="9" fontId="33" fillId="0" borderId="5" xfId="0" applyNumberFormat="1" applyFont="1" applyFill="1" applyBorder="1" applyAlignment="1" applyProtection="1">
      <alignment horizontal="center" vertical="center" wrapText="1"/>
      <protection locked="0"/>
    </xf>
    <xf numFmtId="9" fontId="33" fillId="0" borderId="10" xfId="0" applyNumberFormat="1" applyFont="1" applyFill="1" applyBorder="1" applyAlignment="1" applyProtection="1">
      <alignment horizontal="center" vertical="center" wrapText="1"/>
      <protection locked="0"/>
    </xf>
    <xf numFmtId="9" fontId="34" fillId="0" borderId="5" xfId="0" applyNumberFormat="1" applyFont="1" applyFill="1" applyBorder="1" applyAlignment="1" applyProtection="1">
      <alignment horizontal="center" vertical="center" wrapText="1"/>
      <protection locked="0"/>
    </xf>
    <xf numFmtId="9" fontId="35" fillId="3" borderId="4" xfId="0" applyNumberFormat="1" applyFont="1" applyFill="1" applyBorder="1" applyAlignment="1" applyProtection="1">
      <alignment horizontal="center" vertical="center" wrapText="1"/>
      <protection locked="0"/>
    </xf>
    <xf numFmtId="0" fontId="18" fillId="3" borderId="4" xfId="0" applyFont="1" applyFill="1" applyBorder="1" applyAlignment="1" applyProtection="1">
      <alignment vertical="center" wrapText="1"/>
      <protection locked="0"/>
    </xf>
    <xf numFmtId="0" fontId="18" fillId="3" borderId="4" xfId="0" applyFont="1" applyFill="1" applyBorder="1" applyAlignment="1">
      <alignment horizontal="left" vertical="center" wrapText="1"/>
    </xf>
    <xf numFmtId="0" fontId="37" fillId="3" borderId="0" xfId="0" applyFont="1" applyFill="1" applyAlignment="1">
      <alignment horizontal="left" vertical="center" wrapText="1"/>
    </xf>
    <xf numFmtId="9" fontId="18" fillId="3" borderId="2" xfId="0" applyNumberFormat="1" applyFont="1" applyFill="1" applyBorder="1" applyAlignment="1" applyProtection="1">
      <alignment horizontal="center" vertical="center" wrapText="1"/>
      <protection locked="0"/>
    </xf>
    <xf numFmtId="0" fontId="18" fillId="3" borderId="2" xfId="0" applyFont="1" applyFill="1" applyBorder="1" applyAlignment="1">
      <alignment horizontal="left" vertical="center" wrapText="1"/>
    </xf>
    <xf numFmtId="0" fontId="18" fillId="3" borderId="0" xfId="0" applyFont="1" applyFill="1" applyAlignment="1">
      <alignment horizontal="left" vertical="top" wrapText="1"/>
    </xf>
    <xf numFmtId="10" fontId="18" fillId="3" borderId="2" xfId="0" applyNumberFormat="1" applyFont="1" applyFill="1" applyBorder="1" applyAlignment="1" applyProtection="1">
      <alignment horizontal="center" vertical="center" wrapText="1"/>
      <protection locked="0"/>
    </xf>
    <xf numFmtId="169" fontId="18" fillId="3" borderId="2" xfId="0" applyNumberFormat="1" applyFont="1" applyFill="1" applyBorder="1" applyAlignment="1" applyProtection="1">
      <alignment horizontal="center" vertical="center" wrapText="1"/>
      <protection locked="0"/>
    </xf>
    <xf numFmtId="169" fontId="18" fillId="3" borderId="3" xfId="0" applyNumberFormat="1" applyFont="1" applyFill="1" applyBorder="1" applyAlignment="1" applyProtection="1">
      <alignment horizontal="center" vertical="center" wrapText="1"/>
      <protection locked="0"/>
    </xf>
    <xf numFmtId="0" fontId="18" fillId="3" borderId="3" xfId="0" applyFont="1" applyFill="1" applyBorder="1" applyAlignment="1" applyProtection="1">
      <alignment horizontal="left" vertical="center" wrapText="1"/>
      <protection locked="0"/>
    </xf>
    <xf numFmtId="9" fontId="39" fillId="3" borderId="5" xfId="0" applyNumberFormat="1" applyFont="1" applyFill="1" applyBorder="1" applyAlignment="1" applyProtection="1">
      <alignment horizontal="center" vertical="center" wrapText="1"/>
      <protection locked="0"/>
    </xf>
    <xf numFmtId="4" fontId="18" fillId="3" borderId="3" xfId="0" applyNumberFormat="1" applyFont="1" applyFill="1" applyBorder="1" applyAlignment="1" applyProtection="1">
      <alignment horizontal="center" vertical="center" wrapText="1"/>
      <protection locked="0"/>
    </xf>
    <xf numFmtId="9" fontId="18" fillId="3" borderId="7" xfId="0" applyNumberFormat="1" applyFont="1" applyFill="1" applyBorder="1" applyAlignment="1" applyProtection="1">
      <alignment horizontal="center" vertical="center" wrapText="1"/>
      <protection locked="0"/>
    </xf>
    <xf numFmtId="4" fontId="18" fillId="3" borderId="1" xfId="0" applyNumberFormat="1" applyFont="1" applyFill="1" applyBorder="1" applyAlignment="1" applyProtection="1">
      <alignment horizontal="center" vertical="center" wrapText="1"/>
      <protection locked="0"/>
    </xf>
    <xf numFmtId="9" fontId="37" fillId="3" borderId="9" xfId="0" applyNumberFormat="1" applyFont="1" applyFill="1" applyBorder="1" applyAlignment="1" applyProtection="1">
      <alignment horizontal="center" vertical="center" wrapText="1"/>
      <protection locked="0"/>
    </xf>
    <xf numFmtId="4" fontId="35" fillId="3" borderId="1" xfId="0" applyNumberFormat="1" applyFont="1" applyFill="1" applyBorder="1" applyAlignment="1" applyProtection="1">
      <alignment horizontal="center" vertical="center" wrapText="1"/>
      <protection locked="0"/>
    </xf>
    <xf numFmtId="9" fontId="18" fillId="3" borderId="10" xfId="0" applyNumberFormat="1" applyFont="1" applyFill="1" applyBorder="1" applyAlignment="1" applyProtection="1">
      <alignment horizontal="center" vertical="center" wrapText="1"/>
      <protection locked="0"/>
    </xf>
    <xf numFmtId="0" fontId="39" fillId="3" borderId="0" xfId="0" applyFont="1" applyFill="1" applyAlignment="1">
      <alignment horizontal="left" vertical="center" wrapText="1"/>
    </xf>
    <xf numFmtId="9" fontId="39" fillId="3" borderId="9" xfId="0" applyNumberFormat="1" applyFont="1" applyFill="1" applyBorder="1" applyAlignment="1" applyProtection="1">
      <alignment horizontal="center" vertical="center" wrapText="1"/>
      <protection locked="0"/>
    </xf>
    <xf numFmtId="49" fontId="43" fillId="3" borderId="2" xfId="0" applyNumberFormat="1" applyFont="1" applyFill="1" applyBorder="1" applyAlignment="1" applyProtection="1">
      <alignment horizontal="center" vertical="center" wrapText="1"/>
      <protection locked="0"/>
    </xf>
    <xf numFmtId="49" fontId="43" fillId="3" borderId="3" xfId="0" applyNumberFormat="1" applyFont="1" applyFill="1" applyBorder="1" applyAlignment="1" applyProtection="1">
      <alignment horizontal="center" vertical="center" wrapText="1"/>
      <protection locked="0"/>
    </xf>
    <xf numFmtId="9" fontId="34"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4" fontId="33" fillId="0" borderId="3" xfId="0" applyNumberFormat="1" applyFont="1" applyFill="1" applyBorder="1" applyAlignment="1" applyProtection="1">
      <alignment horizontal="center" vertical="center" wrapText="1"/>
      <protection locked="0"/>
    </xf>
    <xf numFmtId="9" fontId="45" fillId="0" borderId="10" xfId="0" applyNumberFormat="1" applyFont="1" applyFill="1" applyBorder="1" applyAlignment="1" applyProtection="1">
      <alignment horizontal="center" vertical="center" wrapText="1"/>
      <protection locked="0"/>
    </xf>
    <xf numFmtId="2" fontId="16" fillId="6" borderId="1" xfId="0" applyNumberFormat="1" applyFont="1" applyFill="1" applyBorder="1" applyAlignment="1">
      <alignment horizontal="left" vertical="center" wrapText="1"/>
    </xf>
    <xf numFmtId="0" fontId="16" fillId="6" borderId="1" xfId="0" applyFont="1" applyFill="1" applyBorder="1" applyAlignment="1">
      <alignment horizontal="left" vertical="center" wrapText="1"/>
    </xf>
    <xf numFmtId="4" fontId="17" fillId="6" borderId="1" xfId="0" applyNumberFormat="1" applyFont="1" applyFill="1" applyBorder="1" applyAlignment="1">
      <alignment horizontal="center" vertical="center" wrapText="1"/>
    </xf>
    <xf numFmtId="4" fontId="44" fillId="3" borderId="5" xfId="0" applyNumberFormat="1" applyFont="1" applyFill="1" applyBorder="1" applyAlignment="1" applyProtection="1">
      <alignment horizontal="center" vertical="center" wrapText="1"/>
      <protection locked="0"/>
    </xf>
    <xf numFmtId="0" fontId="22" fillId="0" borderId="11" xfId="0" applyFont="1" applyFill="1" applyBorder="1" applyAlignment="1">
      <alignment horizontal="left" vertical="top" wrapText="1"/>
    </xf>
    <xf numFmtId="49" fontId="49" fillId="3" borderId="4" xfId="0" applyNumberFormat="1" applyFont="1" applyFill="1" applyBorder="1" applyAlignment="1" applyProtection="1">
      <alignment horizontal="center" vertical="center" wrapText="1"/>
      <protection locked="0"/>
    </xf>
    <xf numFmtId="0" fontId="49" fillId="3" borderId="1" xfId="0" applyFont="1" applyFill="1" applyBorder="1" applyAlignment="1" applyProtection="1">
      <alignment horizontal="left" vertical="center" wrapText="1"/>
      <protection locked="0"/>
    </xf>
    <xf numFmtId="4" fontId="49" fillId="3" borderId="1" xfId="0" applyNumberFormat="1" applyFont="1" applyFill="1" applyBorder="1" applyAlignment="1" applyProtection="1">
      <alignment horizontal="center" vertical="center" wrapText="1"/>
      <protection locked="0"/>
    </xf>
    <xf numFmtId="9" fontId="49" fillId="3" borderId="5" xfId="0" applyNumberFormat="1" applyFont="1" applyFill="1" applyBorder="1" applyAlignment="1" applyProtection="1">
      <alignment horizontal="center" vertical="center" wrapText="1"/>
      <protection locked="0"/>
    </xf>
    <xf numFmtId="169" fontId="49" fillId="3" borderId="5" xfId="0" applyNumberFormat="1" applyFont="1" applyFill="1" applyBorder="1" applyAlignment="1" applyProtection="1">
      <alignment horizontal="center" vertical="center" wrapText="1"/>
      <protection locked="0"/>
    </xf>
    <xf numFmtId="49" fontId="47" fillId="3" borderId="2" xfId="0" applyNumberFormat="1" applyFont="1" applyFill="1" applyBorder="1" applyAlignment="1" applyProtection="1">
      <alignment horizontal="center" vertical="center" wrapText="1"/>
      <protection locked="0"/>
    </xf>
    <xf numFmtId="0" fontId="48" fillId="3" borderId="7" xfId="0" applyFont="1" applyFill="1" applyBorder="1" applyAlignment="1" applyProtection="1">
      <alignment horizontal="left" vertical="center" wrapText="1"/>
      <protection locked="0"/>
    </xf>
    <xf numFmtId="4" fontId="48" fillId="3" borderId="3" xfId="0" applyNumberFormat="1" applyFont="1" applyFill="1" applyBorder="1" applyAlignment="1" applyProtection="1">
      <alignment horizontal="center" vertical="center" wrapText="1"/>
      <protection locked="0"/>
    </xf>
    <xf numFmtId="9" fontId="48" fillId="3" borderId="7"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5" xfId="0" applyFont="1" applyFill="1" applyBorder="1" applyAlignment="1" applyProtection="1">
      <alignment horizontal="left" vertical="center" wrapText="1"/>
      <protection locked="0"/>
    </xf>
    <xf numFmtId="0" fontId="48" fillId="3" borderId="1" xfId="0" applyFont="1" applyFill="1" applyBorder="1" applyAlignment="1" applyProtection="1">
      <alignment horizontal="left" vertical="center" wrapText="1"/>
      <protection locked="0"/>
    </xf>
    <xf numFmtId="0" fontId="48" fillId="3" borderId="3" xfId="0" applyFont="1" applyFill="1" applyBorder="1" applyAlignment="1" applyProtection="1">
      <alignment horizontal="left" vertical="center" wrapText="1"/>
      <protection locked="0"/>
    </xf>
    <xf numFmtId="49" fontId="47" fillId="3" borderId="3" xfId="0" applyNumberFormat="1" applyFont="1" applyFill="1" applyBorder="1" applyAlignment="1" applyProtection="1">
      <alignment horizontal="center" vertical="center" wrapText="1"/>
      <protection locked="0"/>
    </xf>
    <xf numFmtId="49" fontId="50" fillId="3" borderId="4" xfId="0" applyNumberFormat="1" applyFont="1" applyFill="1" applyBorder="1" applyAlignment="1" applyProtection="1">
      <alignment horizontal="center" vertical="center" wrapText="1"/>
      <protection locked="0"/>
    </xf>
    <xf numFmtId="0" fontId="50" fillId="3" borderId="1" xfId="0" applyFont="1" applyFill="1" applyBorder="1" applyAlignment="1" applyProtection="1">
      <alignment horizontal="left" vertical="center" wrapText="1"/>
      <protection locked="0"/>
    </xf>
    <xf numFmtId="4" fontId="50" fillId="3" borderId="1" xfId="0" applyNumberFormat="1" applyFont="1" applyFill="1" applyBorder="1" applyAlignment="1" applyProtection="1">
      <alignment horizontal="center" vertical="center" wrapText="1"/>
      <protection locked="0"/>
    </xf>
    <xf numFmtId="9" fontId="50" fillId="3" borderId="5" xfId="0" applyNumberFormat="1" applyFont="1" applyFill="1" applyBorder="1" applyAlignment="1" applyProtection="1">
      <alignment horizontal="center" vertical="center" wrapText="1"/>
      <protection locked="0"/>
    </xf>
    <xf numFmtId="49" fontId="50" fillId="3" borderId="2" xfId="0" applyNumberFormat="1" applyFont="1" applyFill="1" applyBorder="1" applyAlignment="1" applyProtection="1">
      <alignment horizontal="center" vertical="center" wrapText="1"/>
      <protection locked="0"/>
    </xf>
    <xf numFmtId="4" fontId="48" fillId="3" borderId="1" xfId="0" applyNumberFormat="1" applyFont="1" applyFill="1" applyBorder="1" applyAlignment="1" applyProtection="1">
      <alignment horizontal="center" vertical="center" wrapText="1"/>
      <protection locked="0"/>
    </xf>
    <xf numFmtId="4" fontId="47" fillId="3" borderId="1" xfId="0" applyNumberFormat="1" applyFont="1" applyFill="1" applyBorder="1" applyAlignment="1" applyProtection="1">
      <alignment horizontal="center" vertical="center" wrapText="1"/>
      <protection locked="0"/>
    </xf>
    <xf numFmtId="4" fontId="47" fillId="3" borderId="3" xfId="0" applyNumberFormat="1" applyFont="1" applyFill="1" applyBorder="1" applyAlignment="1" applyProtection="1">
      <alignment horizontal="center" vertical="center" wrapText="1"/>
      <protection locked="0"/>
    </xf>
    <xf numFmtId="49" fontId="50" fillId="3" borderId="3" xfId="0" applyNumberFormat="1" applyFont="1" applyFill="1" applyBorder="1" applyAlignment="1" applyProtection="1">
      <alignment horizontal="center" vertical="center" wrapText="1"/>
      <protection locked="0"/>
    </xf>
    <xf numFmtId="169" fontId="48" fillId="3" borderId="5" xfId="0" applyNumberFormat="1" applyFont="1" applyFill="1" applyBorder="1" applyAlignment="1" applyProtection="1">
      <alignment horizontal="center" vertical="center" wrapText="1"/>
      <protection locked="0"/>
    </xf>
    <xf numFmtId="0" fontId="50" fillId="3" borderId="5" xfId="0" applyFont="1" applyFill="1" applyBorder="1" applyAlignment="1" applyProtection="1">
      <alignment horizontal="left" vertical="center" wrapText="1"/>
      <protection locked="0"/>
    </xf>
    <xf numFmtId="4" fontId="22" fillId="3" borderId="1" xfId="0" applyNumberFormat="1" applyFont="1" applyFill="1" applyBorder="1" applyAlignment="1" applyProtection="1">
      <alignment horizontal="center" vertical="center" wrapText="1"/>
      <protection locked="0"/>
    </xf>
    <xf numFmtId="49" fontId="51" fillId="3" borderId="4" xfId="0" applyNumberFormat="1" applyFont="1" applyFill="1" applyBorder="1" applyAlignment="1" applyProtection="1">
      <alignment horizontal="center" vertical="center" wrapText="1"/>
      <protection locked="0"/>
    </xf>
    <xf numFmtId="0" fontId="51" fillId="3" borderId="1" xfId="0" applyFont="1" applyFill="1" applyBorder="1" applyAlignment="1" applyProtection="1">
      <alignment horizontal="left" vertical="center" wrapText="1"/>
      <protection locked="0"/>
    </xf>
    <xf numFmtId="4" fontId="51" fillId="3" borderId="1" xfId="0" applyNumberFormat="1" applyFont="1" applyFill="1" applyBorder="1" applyAlignment="1" applyProtection="1">
      <alignment horizontal="center" vertical="center" wrapText="1"/>
      <protection locked="0"/>
    </xf>
    <xf numFmtId="9" fontId="51" fillId="3" borderId="5" xfId="0" applyNumberFormat="1" applyFont="1" applyFill="1" applyBorder="1" applyAlignment="1" applyProtection="1">
      <alignment horizontal="center" vertical="center" wrapText="1"/>
      <protection locked="0"/>
    </xf>
    <xf numFmtId="169" fontId="51" fillId="3" borderId="5" xfId="0" applyNumberFormat="1" applyFont="1" applyFill="1" applyBorder="1" applyAlignment="1" applyProtection="1">
      <alignment horizontal="center" vertical="center" wrapText="1"/>
      <protection locked="0"/>
    </xf>
    <xf numFmtId="0" fontId="32" fillId="0" borderId="4" xfId="0" applyFont="1" applyFill="1" applyBorder="1" applyAlignment="1" applyProtection="1">
      <alignment horizontal="left" vertical="center" wrapText="1"/>
      <protection locked="0"/>
    </xf>
    <xf numFmtId="0" fontId="50" fillId="3" borderId="0" xfId="0" applyFont="1" applyFill="1" applyAlignment="1">
      <alignment horizontal="left" vertical="center" wrapText="1"/>
    </xf>
    <xf numFmtId="49" fontId="51" fillId="3" borderId="2" xfId="0" applyNumberFormat="1" applyFont="1" applyFill="1" applyBorder="1" applyAlignment="1" applyProtection="1">
      <alignment horizontal="center" vertical="center" wrapText="1"/>
      <protection locked="0"/>
    </xf>
    <xf numFmtId="0" fontId="52" fillId="3" borderId="5" xfId="0" applyFont="1" applyFill="1" applyBorder="1" applyAlignment="1" applyProtection="1">
      <alignment horizontal="left" vertical="center" wrapText="1"/>
      <protection locked="0"/>
    </xf>
    <xf numFmtId="4" fontId="52" fillId="3" borderId="1" xfId="0" applyNumberFormat="1" applyFont="1" applyFill="1" applyBorder="1" applyAlignment="1" applyProtection="1">
      <alignment horizontal="center" vertical="center" wrapText="1"/>
      <protection locked="0"/>
    </xf>
    <xf numFmtId="9" fontId="52" fillId="3" borderId="5" xfId="0" applyNumberFormat="1" applyFont="1" applyFill="1" applyBorder="1" applyAlignment="1" applyProtection="1">
      <alignment horizontal="center" vertical="center" wrapText="1"/>
      <protection locked="0"/>
    </xf>
    <xf numFmtId="0" fontId="48" fillId="3" borderId="0" xfId="0" applyFont="1" applyFill="1" applyAlignment="1">
      <alignment horizontal="left" vertical="top" wrapText="1"/>
    </xf>
    <xf numFmtId="169" fontId="52" fillId="3" borderId="5" xfId="0" applyNumberFormat="1" applyFont="1" applyFill="1" applyBorder="1" applyAlignment="1" applyProtection="1">
      <alignment horizontal="center" vertical="center" wrapText="1"/>
      <protection locked="0"/>
    </xf>
    <xf numFmtId="0" fontId="52" fillId="3" borderId="7" xfId="0" applyFont="1" applyFill="1" applyBorder="1" applyAlignment="1" applyProtection="1">
      <alignment horizontal="left" vertical="center" wrapText="1"/>
      <protection locked="0"/>
    </xf>
    <xf numFmtId="4" fontId="52" fillId="3" borderId="3" xfId="0" applyNumberFormat="1" applyFont="1" applyFill="1" applyBorder="1" applyAlignment="1" applyProtection="1">
      <alignment horizontal="center" vertical="center" wrapText="1"/>
      <protection locked="0"/>
    </xf>
    <xf numFmtId="49" fontId="51" fillId="3" borderId="3" xfId="0" applyNumberFormat="1" applyFont="1" applyFill="1" applyBorder="1" applyAlignment="1" applyProtection="1">
      <alignment horizontal="center" vertical="center" wrapText="1"/>
      <protection locked="0"/>
    </xf>
    <xf numFmtId="0" fontId="52" fillId="3" borderId="5" xfId="0" applyNumberFormat="1" applyFont="1" applyFill="1" applyBorder="1" applyAlignment="1" applyProtection="1">
      <alignment horizontal="center" vertical="center" wrapText="1"/>
      <protection locked="0"/>
    </xf>
    <xf numFmtId="2" fontId="52" fillId="3" borderId="5" xfId="0" applyNumberFormat="1" applyFont="1" applyFill="1" applyBorder="1" applyAlignment="1" applyProtection="1">
      <alignment horizontal="center" vertical="center" wrapText="1"/>
      <protection locked="0"/>
    </xf>
    <xf numFmtId="9" fontId="32" fillId="0" borderId="5" xfId="0" applyNumberFormat="1" applyFont="1" applyFill="1" applyBorder="1" applyAlignment="1" applyProtection="1">
      <alignment horizontal="center" vertical="center" wrapText="1"/>
      <protection locked="0"/>
    </xf>
    <xf numFmtId="169" fontId="32" fillId="0" borderId="7" xfId="0" applyNumberFormat="1" applyFont="1" applyFill="1" applyBorder="1" applyAlignment="1" applyProtection="1">
      <alignment horizontal="center" vertical="center" wrapText="1"/>
      <protection locked="0"/>
    </xf>
    <xf numFmtId="4" fontId="32" fillId="0" borderId="9" xfId="0" applyNumberFormat="1" applyFont="1" applyFill="1" applyBorder="1" applyAlignment="1" applyProtection="1">
      <alignment horizontal="center" vertical="center" wrapText="1"/>
      <protection locked="0"/>
    </xf>
    <xf numFmtId="9" fontId="50" fillId="3" borderId="9" xfId="0" applyNumberFormat="1" applyFont="1" applyFill="1" applyBorder="1" applyAlignment="1" applyProtection="1">
      <alignment horizontal="center" vertical="center" wrapText="1"/>
      <protection locked="0"/>
    </xf>
    <xf numFmtId="0" fontId="47" fillId="3" borderId="0" xfId="0" applyFont="1" applyFill="1" applyAlignment="1">
      <alignment horizontal="left" vertical="center" wrapText="1"/>
    </xf>
    <xf numFmtId="9" fontId="48" fillId="3" borderId="10" xfId="0" applyNumberFormat="1" applyFont="1" applyFill="1" applyBorder="1" applyAlignment="1" applyProtection="1">
      <alignment horizontal="center" vertical="center" wrapText="1"/>
      <protection locked="0"/>
    </xf>
    <xf numFmtId="4" fontId="53" fillId="3" borderId="3" xfId="0" applyNumberFormat="1" applyFont="1" applyFill="1" applyBorder="1" applyAlignment="1" applyProtection="1">
      <alignment horizontal="center" vertical="center" wrapText="1"/>
      <protection locked="0"/>
    </xf>
    <xf numFmtId="4" fontId="53" fillId="3" borderId="1" xfId="0" applyNumberFormat="1" applyFont="1" applyFill="1" applyBorder="1" applyAlignment="1" applyProtection="1">
      <alignment horizontal="center" vertical="center" wrapText="1"/>
      <protection locked="0"/>
    </xf>
    <xf numFmtId="2" fontId="48" fillId="3" borderId="5" xfId="0" applyNumberFormat="1" applyFont="1" applyFill="1" applyBorder="1" applyAlignment="1" applyProtection="1">
      <alignment horizontal="center" vertical="center" wrapText="1"/>
      <protection locked="0"/>
    </xf>
    <xf numFmtId="4" fontId="22" fillId="0" borderId="5" xfId="0" applyNumberFormat="1" applyFont="1" applyFill="1" applyBorder="1" applyAlignment="1" applyProtection="1">
      <alignment horizontal="center" vertical="center" wrapText="1"/>
      <protection locked="0"/>
    </xf>
    <xf numFmtId="4" fontId="34" fillId="3" borderId="5" xfId="0" applyNumberFormat="1" applyFont="1" applyFill="1" applyBorder="1" applyAlignment="1" applyProtection="1">
      <alignment horizontal="center" vertical="center" wrapText="1"/>
      <protection locked="0"/>
    </xf>
    <xf numFmtId="4" fontId="34" fillId="0" borderId="1" xfId="0" applyNumberFormat="1" applyFont="1" applyFill="1" applyBorder="1" applyAlignment="1" applyProtection="1">
      <alignment horizontal="center" vertical="center" wrapText="1"/>
      <protection locked="0"/>
    </xf>
    <xf numFmtId="9" fontId="34" fillId="0" borderId="7" xfId="0" applyNumberFormat="1" applyFont="1" applyFill="1" applyBorder="1" applyAlignment="1" applyProtection="1">
      <alignment horizontal="center" vertical="center" wrapText="1"/>
      <protection locked="0"/>
    </xf>
    <xf numFmtId="9" fontId="34" fillId="0" borderId="3" xfId="0" applyNumberFormat="1" applyFont="1" applyFill="1" applyBorder="1" applyAlignment="1" applyProtection="1">
      <alignment horizontal="center" vertical="center" wrapText="1"/>
      <protection locked="0"/>
    </xf>
    <xf numFmtId="4" fontId="32" fillId="3" borderId="1" xfId="0" applyNumberFormat="1" applyFont="1" applyFill="1" applyBorder="1" applyAlignment="1" applyProtection="1">
      <alignment horizontal="center" vertical="center" wrapText="1"/>
      <protection locked="0"/>
    </xf>
    <xf numFmtId="9" fontId="33" fillId="3" borderId="1" xfId="0" applyNumberFormat="1" applyFont="1" applyFill="1" applyBorder="1" applyAlignment="1" applyProtection="1">
      <alignment horizontal="center" vertical="center" wrapText="1"/>
      <protection locked="0"/>
    </xf>
    <xf numFmtId="9" fontId="33" fillId="3" borderId="5" xfId="0" applyNumberFormat="1" applyFont="1" applyFill="1" applyBorder="1" applyAlignment="1" applyProtection="1">
      <alignment horizontal="center" vertical="center" wrapText="1"/>
      <protection locked="0"/>
    </xf>
    <xf numFmtId="4" fontId="33" fillId="3" borderId="1" xfId="0" applyNumberFormat="1" applyFont="1" applyFill="1" applyBorder="1" applyAlignment="1" applyProtection="1">
      <alignment horizontal="center" vertical="center" wrapText="1"/>
      <protection locked="0"/>
    </xf>
    <xf numFmtId="0" fontId="22" fillId="3" borderId="4" xfId="0" applyFont="1" applyFill="1" applyBorder="1" applyAlignment="1" applyProtection="1">
      <alignment vertical="center" wrapText="1"/>
      <protection locked="0"/>
    </xf>
    <xf numFmtId="9" fontId="18" fillId="3" borderId="9" xfId="0" applyNumberFormat="1" applyFont="1" applyFill="1" applyBorder="1" applyAlignment="1" applyProtection="1">
      <alignment horizontal="justify" vertical="center" wrapText="1"/>
      <protection locked="0"/>
    </xf>
    <xf numFmtId="4" fontId="52" fillId="3" borderId="5" xfId="0" applyNumberFormat="1" applyFont="1" applyFill="1" applyBorder="1" applyAlignment="1" applyProtection="1">
      <alignment horizontal="center" vertical="center" wrapText="1"/>
      <protection locked="0"/>
    </xf>
    <xf numFmtId="4" fontId="49" fillId="3" borderId="5" xfId="0" applyNumberFormat="1" applyFont="1" applyFill="1" applyBorder="1" applyAlignment="1" applyProtection="1">
      <alignment horizontal="center" vertical="center" wrapText="1"/>
      <protection locked="0"/>
    </xf>
    <xf numFmtId="4" fontId="48" fillId="3" borderId="5" xfId="0" applyNumberFormat="1" applyFont="1" applyFill="1" applyBorder="1" applyAlignment="1" applyProtection="1">
      <alignment horizontal="center" vertical="center" wrapText="1"/>
      <protection locked="0"/>
    </xf>
    <xf numFmtId="9" fontId="22" fillId="3" borderId="3" xfId="0" applyNumberFormat="1" applyFont="1" applyFill="1" applyBorder="1" applyAlignment="1" applyProtection="1">
      <alignment horizontal="center" vertical="center" wrapText="1"/>
      <protection locked="0"/>
    </xf>
    <xf numFmtId="9" fontId="22" fillId="3" borderId="7" xfId="0" applyNumberFormat="1" applyFont="1" applyFill="1" applyBorder="1" applyAlignment="1" applyProtection="1">
      <alignment horizontal="center" vertical="center" wrapText="1"/>
      <protection locked="0"/>
    </xf>
    <xf numFmtId="0" fontId="48" fillId="3" borderId="4" xfId="0" applyFont="1" applyFill="1" applyBorder="1" applyAlignment="1" applyProtection="1">
      <alignment horizontal="justify" vertical="top" wrapText="1"/>
      <protection locked="0"/>
    </xf>
    <xf numFmtId="0" fontId="18" fillId="3" borderId="4"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0" fontId="48" fillId="3" borderId="4"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center" wrapText="1"/>
      <protection locked="0"/>
    </xf>
    <xf numFmtId="0" fontId="35" fillId="3" borderId="1" xfId="0" applyFont="1" applyFill="1" applyBorder="1" applyAlignment="1" applyProtection="1">
      <alignment horizontal="left" vertical="top" wrapText="1"/>
      <protection locked="0"/>
    </xf>
    <xf numFmtId="0" fontId="40" fillId="3" borderId="4" xfId="0" applyFont="1" applyFill="1" applyBorder="1" applyAlignment="1" applyProtection="1">
      <alignment horizontal="left" vertical="top" wrapText="1"/>
      <protection locked="0"/>
    </xf>
    <xf numFmtId="0" fontId="21" fillId="0" borderId="0" xfId="0" quotePrefix="1" applyFont="1" applyFill="1" applyBorder="1" applyAlignment="1" applyProtection="1">
      <alignment horizontal="center" vertical="center" wrapText="1"/>
      <protection locked="0"/>
    </xf>
    <xf numFmtId="165" fontId="22" fillId="3" borderId="5" xfId="0" applyNumberFormat="1"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4" fontId="22" fillId="3" borderId="4" xfId="0" applyNumberFormat="1" applyFont="1" applyFill="1" applyBorder="1" applyAlignment="1" applyProtection="1">
      <alignment horizontal="center" vertical="center" wrapText="1"/>
      <protection locked="0"/>
    </xf>
    <xf numFmtId="4" fontId="22" fillId="3" borderId="3" xfId="0" applyNumberFormat="1" applyFont="1" applyFill="1" applyBorder="1" applyAlignment="1" applyProtection="1">
      <alignment horizontal="center" vertical="center" wrapText="1"/>
      <protection locked="0"/>
    </xf>
    <xf numFmtId="4" fontId="22" fillId="3" borderId="5" xfId="0" applyNumberFormat="1" applyFont="1" applyFill="1" applyBorder="1" applyAlignment="1" applyProtection="1">
      <alignment horizontal="center" vertical="center" wrapText="1"/>
      <protection locked="0"/>
    </xf>
    <xf numFmtId="4" fontId="22" fillId="3" borderId="4" xfId="0" quotePrefix="1" applyNumberFormat="1" applyFont="1" applyFill="1" applyBorder="1" applyAlignment="1" applyProtection="1">
      <alignment horizontal="center" vertical="center" wrapText="1"/>
      <protection locked="0"/>
    </xf>
    <xf numFmtId="2" fontId="22" fillId="3" borderId="4" xfId="0" applyNumberFormat="1" applyFont="1" applyFill="1" applyBorder="1" applyAlignment="1" applyProtection="1">
      <alignment horizontal="center" vertical="center" wrapText="1"/>
      <protection locked="0"/>
    </xf>
    <xf numFmtId="2" fontId="22" fillId="3" borderId="2" xfId="0" applyNumberFormat="1" applyFont="1" applyFill="1" applyBorder="1" applyAlignment="1" applyProtection="1">
      <alignment horizontal="center" vertical="center" wrapText="1"/>
      <protection locked="0"/>
    </xf>
    <xf numFmtId="2" fontId="22" fillId="3" borderId="3" xfId="0" applyNumberFormat="1" applyFont="1" applyFill="1" applyBorder="1" applyAlignment="1" applyProtection="1">
      <alignment horizontal="center" vertical="center" wrapText="1"/>
      <protection locked="0"/>
    </xf>
    <xf numFmtId="165" fontId="22" fillId="3" borderId="5" xfId="0" quotePrefix="1" applyNumberFormat="1" applyFont="1" applyFill="1" applyBorder="1" applyAlignment="1" applyProtection="1">
      <alignment horizontal="center" vertical="center" wrapText="1"/>
      <protection locked="0"/>
    </xf>
    <xf numFmtId="0" fontId="22" fillId="3" borderId="4"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top" wrapText="1"/>
      <protection locked="0"/>
    </xf>
    <xf numFmtId="0" fontId="32" fillId="0" borderId="4"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center" wrapText="1"/>
      <protection locked="0"/>
    </xf>
    <xf numFmtId="0" fontId="32" fillId="3" borderId="4" xfId="0" applyFont="1" applyFill="1" applyBorder="1" applyAlignment="1" applyProtection="1">
      <alignment horizontal="left" vertical="top" wrapText="1"/>
      <protection locked="0"/>
    </xf>
    <xf numFmtId="0" fontId="26" fillId="0" borderId="4"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33" fillId="3" borderId="4" xfId="0" applyFont="1" applyFill="1" applyBorder="1" applyAlignment="1" applyProtection="1">
      <alignment horizontal="left" vertical="top" wrapText="1"/>
      <protection locked="0"/>
    </xf>
    <xf numFmtId="2" fontId="49" fillId="3" borderId="1" xfId="0" applyNumberFormat="1"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left" vertical="center" wrapText="1"/>
      <protection locked="0"/>
    </xf>
    <xf numFmtId="9" fontId="35" fillId="3" borderId="1" xfId="0" applyNumberFormat="1" applyFont="1" applyFill="1" applyBorder="1" applyAlignment="1" applyProtection="1">
      <alignment horizontal="center" vertical="center" wrapText="1"/>
      <protection locked="0"/>
    </xf>
    <xf numFmtId="169" fontId="35" fillId="3" borderId="1" xfId="0" applyNumberFormat="1" applyFont="1" applyFill="1" applyBorder="1" applyAlignment="1" applyProtection="1">
      <alignment horizontal="center" vertical="center" wrapText="1"/>
      <protection locked="0"/>
    </xf>
    <xf numFmtId="4" fontId="36"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left" vertical="center" wrapText="1"/>
      <protection locked="0"/>
    </xf>
    <xf numFmtId="169" fontId="18" fillId="3" borderId="1" xfId="0" applyNumberFormat="1" applyFont="1" applyFill="1" applyBorder="1" applyAlignment="1" applyProtection="1">
      <alignment horizontal="center" vertical="center" wrapText="1"/>
      <protection locked="0"/>
    </xf>
    <xf numFmtId="4" fontId="38" fillId="3" borderId="1" xfId="0" applyNumberFormat="1" applyFont="1" applyFill="1" applyBorder="1" applyAlignment="1" applyProtection="1">
      <alignment horizontal="center" vertical="center" wrapText="1"/>
      <protection locked="0"/>
    </xf>
    <xf numFmtId="9" fontId="18" fillId="3" borderId="1" xfId="0" applyNumberFormat="1" applyFont="1" applyFill="1" applyBorder="1" applyAlignment="1" applyProtection="1">
      <alignment horizontal="center" vertical="center" wrapText="1"/>
      <protection locked="0"/>
    </xf>
    <xf numFmtId="0" fontId="35" fillId="3" borderId="2" xfId="0" applyFont="1" applyFill="1" applyBorder="1" applyAlignment="1" applyProtection="1">
      <alignment vertical="center" wrapText="1"/>
      <protection locked="0"/>
    </xf>
    <xf numFmtId="4" fontId="38" fillId="3" borderId="3" xfId="0" applyNumberFormat="1" applyFont="1" applyFill="1" applyBorder="1" applyAlignment="1" applyProtection="1">
      <alignment horizontal="center" vertical="center" wrapText="1"/>
      <protection locked="0"/>
    </xf>
    <xf numFmtId="9" fontId="18" fillId="3" borderId="3" xfId="0" applyNumberFormat="1" applyFont="1" applyFill="1" applyBorder="1" applyAlignment="1" applyProtection="1">
      <alignment horizontal="center" vertical="center" wrapText="1"/>
      <protection locked="0"/>
    </xf>
    <xf numFmtId="0" fontId="47" fillId="3" borderId="2" xfId="0" applyFont="1" applyFill="1" applyBorder="1" applyAlignment="1" applyProtection="1">
      <alignment vertical="center" wrapText="1"/>
      <protection locked="0"/>
    </xf>
    <xf numFmtId="169" fontId="48" fillId="3" borderId="1" xfId="0" applyNumberFormat="1" applyFont="1" applyFill="1" applyBorder="1" applyAlignment="1" applyProtection="1">
      <alignment horizontal="center" vertical="center" wrapText="1"/>
      <protection locked="0"/>
    </xf>
    <xf numFmtId="9" fontId="48" fillId="3" borderId="1" xfId="0" applyNumberFormat="1" applyFont="1" applyFill="1" applyBorder="1" applyAlignment="1" applyProtection="1">
      <alignment horizontal="center" vertical="center" wrapText="1"/>
      <protection locked="0"/>
    </xf>
    <xf numFmtId="0" fontId="47" fillId="3" borderId="3" xfId="0" applyFont="1" applyFill="1" applyBorder="1" applyAlignment="1" applyProtection="1">
      <alignment vertical="center" wrapText="1"/>
      <protection locked="0"/>
    </xf>
    <xf numFmtId="1" fontId="22" fillId="0" borderId="0" xfId="0" applyNumberFormat="1" applyFont="1" applyFill="1" applyBorder="1" applyAlignment="1" applyProtection="1">
      <alignment horizontal="right" vertical="center" wrapText="1"/>
      <protection locked="0"/>
    </xf>
    <xf numFmtId="0" fontId="22"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center" wrapText="1"/>
    </xf>
    <xf numFmtId="0" fontId="25" fillId="0" borderId="0" xfId="0" applyFont="1" applyFill="1" applyAlignment="1">
      <alignment horizontal="left" vertical="center" wrapText="1"/>
    </xf>
    <xf numFmtId="0" fontId="27" fillId="0" borderId="0" xfId="0" applyFont="1" applyFill="1" applyAlignment="1">
      <alignment horizontal="left" vertical="center" wrapText="1"/>
    </xf>
    <xf numFmtId="0" fontId="35" fillId="0" borderId="1" xfId="0" applyFont="1" applyFill="1" applyBorder="1" applyAlignment="1" applyProtection="1">
      <alignment horizontal="left" vertical="center" wrapText="1"/>
      <protection locked="0"/>
    </xf>
    <xf numFmtId="0" fontId="37" fillId="0" borderId="0" xfId="0" applyFont="1" applyFill="1" applyAlignment="1">
      <alignment horizontal="left" vertical="center" wrapText="1"/>
    </xf>
    <xf numFmtId="0" fontId="18" fillId="0" borderId="1" xfId="0" applyFont="1" applyFill="1" applyBorder="1" applyAlignment="1" applyProtection="1">
      <alignment horizontal="left" vertical="center" wrapText="1"/>
      <protection locked="0"/>
    </xf>
    <xf numFmtId="0" fontId="18" fillId="0" borderId="0" xfId="0" applyFont="1" applyFill="1" applyAlignment="1">
      <alignment horizontal="left" vertical="top" wrapText="1"/>
    </xf>
    <xf numFmtId="0" fontId="48" fillId="0" borderId="1" xfId="0" applyFont="1" applyFill="1" applyBorder="1" applyAlignment="1" applyProtection="1">
      <alignment horizontal="left" vertical="center" wrapText="1"/>
      <protection locked="0"/>
    </xf>
    <xf numFmtId="0" fontId="49" fillId="0" borderId="1" xfId="0" applyFont="1" applyFill="1" applyBorder="1" applyAlignment="1" applyProtection="1">
      <alignment horizontal="left" vertical="center" wrapText="1"/>
      <protection locked="0"/>
    </xf>
    <xf numFmtId="0" fontId="50" fillId="0" borderId="1" xfId="0" applyFont="1" applyFill="1" applyBorder="1" applyAlignment="1" applyProtection="1">
      <alignment horizontal="left" vertical="center" wrapText="1"/>
      <protection locked="0"/>
    </xf>
    <xf numFmtId="0" fontId="39" fillId="0" borderId="0" xfId="0" applyFont="1" applyFill="1" applyAlignment="1">
      <alignment horizontal="left" vertical="center" wrapText="1"/>
    </xf>
    <xf numFmtId="0" fontId="50" fillId="0" borderId="0" xfId="0" applyFont="1" applyFill="1" applyAlignment="1">
      <alignment horizontal="left" vertical="center" wrapText="1"/>
    </xf>
    <xf numFmtId="0" fontId="48" fillId="0" borderId="0" xfId="0" applyFont="1" applyFill="1" applyAlignment="1">
      <alignment horizontal="left" vertical="top" wrapText="1"/>
    </xf>
    <xf numFmtId="0" fontId="51" fillId="0" borderId="1" xfId="0" applyFont="1" applyFill="1" applyBorder="1" applyAlignment="1" applyProtection="1">
      <alignment horizontal="left" vertical="center" wrapText="1"/>
      <protection locked="0"/>
    </xf>
    <xf numFmtId="0" fontId="47" fillId="0" borderId="0" xfId="0" applyFont="1" applyFill="1" applyAlignment="1">
      <alignment horizontal="left" vertical="center" wrapText="1"/>
    </xf>
    <xf numFmtId="0" fontId="27" fillId="0" borderId="0" xfId="0" applyFont="1" applyFill="1" applyAlignment="1">
      <alignment horizontal="left" vertical="top" wrapText="1"/>
    </xf>
    <xf numFmtId="0" fontId="21" fillId="0" borderId="0" xfId="0" applyFont="1" applyFill="1" applyAlignment="1">
      <alignment horizontal="justify" wrapText="1"/>
    </xf>
    <xf numFmtId="0" fontId="22" fillId="0" borderId="0" xfId="0" applyFont="1" applyFill="1" applyAlignment="1">
      <alignment horizontal="justify" wrapText="1"/>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4" fontId="26" fillId="0" borderId="1" xfId="0" applyNumberFormat="1" applyFont="1" applyFill="1" applyBorder="1" applyAlignment="1" applyProtection="1">
      <alignment horizontal="justify" vertical="top" wrapText="1"/>
      <protection locked="0"/>
    </xf>
    <xf numFmtId="9" fontId="45"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4" fontId="27"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169" fontId="32" fillId="0" borderId="1" xfId="0" applyNumberFormat="1" applyFont="1" applyFill="1" applyBorder="1" applyAlignment="1" applyProtection="1">
      <alignment horizontal="center" vertical="center" wrapText="1"/>
      <protection locked="0"/>
    </xf>
    <xf numFmtId="0" fontId="26" fillId="0" borderId="1" xfId="0" quotePrefix="1" applyFont="1" applyFill="1" applyBorder="1" applyAlignment="1" applyProtection="1">
      <alignment horizontal="center" vertical="center" wrapText="1"/>
      <protection locked="0"/>
    </xf>
    <xf numFmtId="9" fontId="35" fillId="0" borderId="1" xfId="0" applyNumberFormat="1" applyFont="1" applyFill="1" applyBorder="1" applyAlignment="1" applyProtection="1">
      <alignment horizontal="justify" vertical="center" wrapText="1"/>
      <protection locked="0"/>
    </xf>
    <xf numFmtId="9" fontId="18" fillId="0" borderId="1" xfId="0" applyNumberFormat="1" applyFont="1" applyFill="1" applyBorder="1" applyAlignment="1" applyProtection="1">
      <alignment horizontal="justify" vertical="center" wrapText="1"/>
      <protection locked="0"/>
    </xf>
    <xf numFmtId="10" fontId="18" fillId="0" borderId="1" xfId="0" applyNumberFormat="1" applyFont="1" applyFill="1" applyBorder="1" applyAlignment="1" applyProtection="1">
      <alignment horizontal="justify" vertical="center" wrapText="1"/>
      <protection locked="0"/>
    </xf>
    <xf numFmtId="169" fontId="18" fillId="0" borderId="1" xfId="0" applyNumberFormat="1" applyFont="1" applyFill="1" applyBorder="1" applyAlignment="1" applyProtection="1">
      <alignment horizontal="justify" vertical="center" wrapText="1"/>
      <protection locked="0"/>
    </xf>
    <xf numFmtId="9" fontId="37" fillId="0" borderId="1" xfId="0" applyNumberFormat="1" applyFont="1" applyFill="1" applyBorder="1" applyAlignment="1" applyProtection="1">
      <alignment horizontal="justify" vertical="center" wrapText="1"/>
      <protection locked="0"/>
    </xf>
    <xf numFmtId="9" fontId="39" fillId="0" borderId="1" xfId="0" applyNumberFormat="1" applyFont="1" applyFill="1" applyBorder="1" applyAlignment="1" applyProtection="1">
      <alignment horizontal="justify" vertical="center" wrapText="1"/>
      <protection locked="0"/>
    </xf>
    <xf numFmtId="0" fontId="52" fillId="0" borderId="1" xfId="0" applyFont="1" applyFill="1" applyBorder="1" applyAlignment="1" applyProtection="1">
      <alignment horizontal="left" vertical="center" wrapText="1"/>
      <protection locked="0"/>
    </xf>
    <xf numFmtId="0" fontId="22" fillId="0" borderId="1" xfId="0" applyFont="1" applyFill="1" applyBorder="1" applyAlignment="1">
      <alignment horizontal="left" vertical="top" wrapText="1"/>
    </xf>
    <xf numFmtId="0" fontId="22" fillId="0" borderId="1" xfId="0" applyFont="1" applyFill="1" applyBorder="1" applyAlignment="1" applyProtection="1">
      <alignment horizontal="justify" vertical="top" wrapText="1"/>
      <protection locked="0"/>
    </xf>
    <xf numFmtId="4" fontId="22" fillId="0" borderId="0" xfId="0" applyNumberFormat="1" applyFont="1" applyFill="1" applyBorder="1" applyAlignment="1" applyProtection="1">
      <alignment horizontal="right" wrapText="1"/>
      <protection locked="0"/>
    </xf>
    <xf numFmtId="2" fontId="18" fillId="0" borderId="1" xfId="0" applyNumberFormat="1" applyFont="1" applyFill="1" applyBorder="1" applyAlignment="1" applyProtection="1">
      <alignment horizontal="center" vertical="center" wrapText="1"/>
      <protection locked="0"/>
    </xf>
    <xf numFmtId="2" fontId="18" fillId="0" borderId="1" xfId="0" applyNumberFormat="1" applyFont="1" applyFill="1" applyBorder="1" applyAlignment="1" applyProtection="1">
      <alignment horizontal="center" vertical="top" wrapText="1"/>
      <protection locked="0"/>
    </xf>
    <xf numFmtId="9" fontId="18" fillId="0" borderId="1" xfId="0" applyNumberFormat="1" applyFont="1" applyFill="1" applyBorder="1" applyAlignment="1" applyProtection="1">
      <alignment horizontal="center" vertical="top" wrapText="1"/>
      <protection locked="0"/>
    </xf>
    <xf numFmtId="4" fontId="18" fillId="0" borderId="1" xfId="0" applyNumberFormat="1" applyFont="1" applyFill="1" applyBorder="1" applyAlignment="1" applyProtection="1">
      <alignment horizontal="center" vertical="top" wrapText="1"/>
      <protection locked="0"/>
    </xf>
    <xf numFmtId="9" fontId="57" fillId="3" borderId="1" xfId="0" applyNumberFormat="1" applyFont="1" applyFill="1" applyBorder="1" applyAlignment="1" applyProtection="1">
      <alignment horizontal="justify" vertical="center" wrapText="1"/>
      <protection locked="0"/>
    </xf>
    <xf numFmtId="4" fontId="31" fillId="0" borderId="1"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22" fillId="0" borderId="0" xfId="0" applyFont="1" applyFill="1" applyBorder="1" applyAlignment="1">
      <alignment horizontal="justify" wrapText="1"/>
    </xf>
    <xf numFmtId="4" fontId="22" fillId="0" borderId="0" xfId="0" applyNumberFormat="1" applyFont="1" applyFill="1" applyBorder="1" applyAlignment="1" applyProtection="1">
      <alignment horizontal="justify" vertical="center" wrapText="1"/>
      <protection locked="0"/>
    </xf>
    <xf numFmtId="0" fontId="26" fillId="0" borderId="1"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top" wrapText="1"/>
      <protection locked="0"/>
    </xf>
    <xf numFmtId="0" fontId="15" fillId="0" borderId="0" xfId="0" applyFont="1"/>
    <xf numFmtId="4" fontId="17" fillId="0" borderId="0" xfId="0" applyNumberFormat="1" applyFont="1"/>
    <xf numFmtId="0" fontId="17" fillId="0" borderId="0" xfId="0" applyFont="1"/>
    <xf numFmtId="4" fontId="17" fillId="7" borderId="0" xfId="0" applyNumberFormat="1" applyFont="1" applyFill="1"/>
    <xf numFmtId="4" fontId="17" fillId="5" borderId="0" xfId="0" applyNumberFormat="1" applyFont="1" applyFill="1" applyAlignment="1">
      <alignment wrapText="1"/>
    </xf>
    <xf numFmtId="0" fontId="26" fillId="0" borderId="1" xfId="0" applyNumberFormat="1" applyFont="1" applyFill="1" applyBorder="1" applyAlignment="1" applyProtection="1">
      <alignment horizontal="center" vertical="center" wrapText="1"/>
      <protection locked="0"/>
    </xf>
    <xf numFmtId="4" fontId="34" fillId="3" borderId="1" xfId="0" applyNumberFormat="1" applyFont="1" applyFill="1" applyBorder="1" applyAlignment="1" applyProtection="1">
      <alignment horizontal="center" vertical="center" wrapText="1"/>
      <protection locked="0"/>
    </xf>
    <xf numFmtId="4" fontId="44" fillId="3" borderId="1" xfId="0" applyNumberFormat="1" applyFont="1" applyFill="1" applyBorder="1" applyAlignment="1" applyProtection="1">
      <alignment horizontal="center" vertical="center" wrapText="1"/>
      <protection locked="0"/>
    </xf>
    <xf numFmtId="4" fontId="26" fillId="0" borderId="4" xfId="0" applyNumberFormat="1"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justify" vertical="center" wrapText="1"/>
      <protection locked="0"/>
    </xf>
    <xf numFmtId="0" fontId="26" fillId="0" borderId="1" xfId="0" applyFont="1" applyFill="1" applyBorder="1" applyAlignment="1" applyProtection="1">
      <alignment horizontal="center" vertical="center" wrapText="1"/>
      <protection locked="0"/>
    </xf>
    <xf numFmtId="4" fontId="31" fillId="3" borderId="1" xfId="0" applyNumberFormat="1" applyFont="1" applyFill="1" applyBorder="1" applyAlignment="1" applyProtection="1">
      <alignment horizontal="center" vertical="center" wrapText="1"/>
      <protection locked="0"/>
    </xf>
    <xf numFmtId="4" fontId="61" fillId="0" borderId="1" xfId="0" applyNumberFormat="1" applyFont="1" applyFill="1" applyBorder="1" applyAlignment="1" applyProtection="1">
      <alignment horizontal="center" vertical="center" wrapText="1"/>
      <protection locked="0"/>
    </xf>
    <xf numFmtId="4" fontId="54" fillId="0" borderId="1" xfId="0" applyNumberFormat="1" applyFont="1" applyFill="1" applyBorder="1" applyAlignment="1" applyProtection="1">
      <alignment horizontal="center" vertical="center" wrapText="1"/>
      <protection locked="0"/>
    </xf>
    <xf numFmtId="169" fontId="26" fillId="0" borderId="4" xfId="0" applyNumberFormat="1"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center" vertical="center" wrapText="1"/>
      <protection locked="0"/>
    </xf>
    <xf numFmtId="9" fontId="62" fillId="0" borderId="1" xfId="0" applyNumberFormat="1" applyFont="1" applyFill="1" applyBorder="1" applyAlignment="1" applyProtection="1">
      <alignment horizontal="center" vertical="center" wrapText="1"/>
      <protection locked="0"/>
    </xf>
    <xf numFmtId="169" fontId="62" fillId="0" borderId="1" xfId="0" applyNumberFormat="1" applyFont="1" applyFill="1" applyBorder="1" applyAlignment="1" applyProtection="1">
      <alignment horizontal="center" vertical="center" wrapText="1"/>
      <protection locked="0"/>
    </xf>
    <xf numFmtId="4" fontId="61" fillId="3" borderId="1" xfId="0" applyNumberFormat="1" applyFont="1" applyFill="1" applyBorder="1" applyAlignment="1" applyProtection="1">
      <alignment horizontal="center" vertical="center" wrapText="1"/>
      <protection locked="0"/>
    </xf>
    <xf numFmtId="9" fontId="61" fillId="3" borderId="1" xfId="0" applyNumberFormat="1" applyFont="1" applyFill="1" applyBorder="1" applyAlignment="1" applyProtection="1">
      <alignment horizontal="center" vertical="center" wrapText="1"/>
      <protection locked="0"/>
    </xf>
    <xf numFmtId="9" fontId="32" fillId="3" borderId="1" xfId="0" applyNumberFormat="1" applyFont="1" applyFill="1" applyBorder="1" applyAlignment="1" applyProtection="1">
      <alignment horizontal="center" vertical="center" wrapText="1"/>
      <protection locked="0"/>
    </xf>
    <xf numFmtId="9" fontId="61" fillId="0" borderId="1" xfId="0" applyNumberFormat="1" applyFont="1" applyFill="1" applyBorder="1" applyAlignment="1" applyProtection="1">
      <alignment horizontal="center" vertical="center" wrapText="1"/>
      <protection locked="0"/>
    </xf>
    <xf numFmtId="2" fontId="62" fillId="0" borderId="1" xfId="0" applyNumberFormat="1" applyFont="1" applyFill="1" applyBorder="1" applyAlignment="1" applyProtection="1">
      <alignment horizontal="center" vertical="center" wrapText="1"/>
      <protection locked="0"/>
    </xf>
    <xf numFmtId="2" fontId="32" fillId="0" borderId="1" xfId="0" applyNumberFormat="1" applyFont="1" applyFill="1" applyBorder="1" applyAlignment="1" applyProtection="1">
      <alignment horizontal="center" vertical="center" wrapText="1"/>
      <protection locked="0"/>
    </xf>
    <xf numFmtId="169" fontId="61" fillId="0" borderId="1" xfId="0" applyNumberFormat="1" applyFont="1" applyFill="1" applyBorder="1" applyAlignment="1" applyProtection="1">
      <alignment horizontal="center" vertical="center" wrapText="1"/>
      <protection locked="0"/>
    </xf>
    <xf numFmtId="164"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protection locked="0"/>
    </xf>
    <xf numFmtId="0" fontId="62" fillId="0" borderId="1" xfId="0" applyFont="1" applyFill="1" applyBorder="1" applyAlignment="1" applyProtection="1">
      <alignment horizontal="justify" vertical="center" wrapText="1"/>
      <protection locked="0"/>
    </xf>
    <xf numFmtId="0" fontId="61" fillId="3" borderId="1" xfId="0" applyFont="1" applyFill="1" applyBorder="1" applyAlignment="1" applyProtection="1">
      <alignment horizontal="justify" vertical="center" wrapText="1"/>
      <protection locked="0"/>
    </xf>
    <xf numFmtId="0" fontId="32" fillId="3" borderId="1" xfId="0" applyFont="1" applyFill="1" applyBorder="1" applyAlignment="1" applyProtection="1">
      <alignment horizontal="justify" vertical="center" wrapText="1"/>
      <protection locked="0"/>
    </xf>
    <xf numFmtId="0" fontId="61" fillId="0" borderId="1" xfId="0" applyFont="1" applyFill="1" applyBorder="1" applyAlignment="1" applyProtection="1">
      <alignment horizontal="justify" vertical="center" wrapText="1"/>
      <protection locked="0"/>
    </xf>
    <xf numFmtId="49" fontId="62" fillId="0" borderId="1" xfId="0" applyNumberFormat="1" applyFont="1" applyFill="1" applyBorder="1" applyAlignment="1" applyProtection="1">
      <alignment horizontal="center" vertical="center" wrapText="1"/>
      <protection locked="0"/>
    </xf>
    <xf numFmtId="49" fontId="31" fillId="0" borderId="1" xfId="0" applyNumberFormat="1" applyFont="1" applyFill="1" applyBorder="1" applyAlignment="1" applyProtection="1">
      <alignment horizontal="center" vertical="center" wrapText="1"/>
      <protection locked="0"/>
    </xf>
    <xf numFmtId="49" fontId="61" fillId="3" borderId="1" xfId="0" applyNumberFormat="1" applyFont="1" applyFill="1" applyBorder="1" applyAlignment="1" applyProtection="1">
      <alignment horizontal="center" vertical="center" wrapText="1"/>
      <protection locked="0"/>
    </xf>
    <xf numFmtId="49" fontId="61" fillId="0" borderId="1" xfId="0" applyNumberFormat="1" applyFont="1" applyFill="1" applyBorder="1" applyAlignment="1" applyProtection="1">
      <alignment horizontal="center" vertical="center" wrapText="1"/>
      <protection locked="0"/>
    </xf>
    <xf numFmtId="49" fontId="63" fillId="0" borderId="1" xfId="0" applyNumberFormat="1" applyFont="1" applyFill="1" applyBorder="1" applyAlignment="1" applyProtection="1">
      <alignment horizontal="center" vertical="center" wrapText="1"/>
      <protection locked="0"/>
    </xf>
    <xf numFmtId="4" fontId="26" fillId="0" borderId="4" xfId="0" applyNumberFormat="1" applyFont="1" applyFill="1" applyBorder="1" applyAlignment="1" applyProtection="1">
      <alignment horizontal="center" vertical="center" wrapText="1"/>
      <protection locked="0"/>
    </xf>
    <xf numFmtId="4" fontId="32" fillId="5" borderId="1" xfId="0" applyNumberFormat="1" applyFont="1" applyFill="1" applyBorder="1" applyAlignment="1" applyProtection="1">
      <alignment horizontal="center" vertical="center" wrapText="1"/>
      <protection locked="0"/>
    </xf>
    <xf numFmtId="0" fontId="33" fillId="0" borderId="4" xfId="0" applyFont="1" applyFill="1" applyBorder="1" applyAlignment="1" applyProtection="1">
      <alignment horizontal="justify" vertical="top" wrapText="1"/>
      <protection locked="0"/>
    </xf>
    <xf numFmtId="0" fontId="22" fillId="0" borderId="2" xfId="0" applyFont="1" applyFill="1" applyBorder="1" applyAlignment="1" applyProtection="1">
      <alignment horizontal="justify" vertical="top" wrapText="1"/>
      <protection locked="0"/>
    </xf>
    <xf numFmtId="0" fontId="22" fillId="0" borderId="3"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justify" vertical="center" wrapText="1"/>
      <protection locked="0"/>
    </xf>
    <xf numFmtId="0" fontId="22" fillId="3"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top" wrapText="1"/>
      <protection locked="0"/>
    </xf>
    <xf numFmtId="4" fontId="31" fillId="3" borderId="1"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4" fontId="26" fillId="0" borderId="4" xfId="0" applyNumberFormat="1" applyFont="1" applyFill="1" applyBorder="1" applyAlignment="1" applyProtection="1">
      <alignment horizontal="center" vertical="center" wrapText="1"/>
      <protection locked="0"/>
    </xf>
    <xf numFmtId="4" fontId="26" fillId="0" borderId="3" xfId="0" applyNumberFormat="1" applyFont="1" applyFill="1" applyBorder="1" applyAlignment="1" applyProtection="1">
      <alignment horizontal="center" vertical="center" wrapText="1"/>
      <protection locked="0"/>
    </xf>
    <xf numFmtId="9" fontId="34" fillId="0" borderId="4" xfId="0" applyNumberFormat="1" applyFont="1" applyFill="1" applyBorder="1" applyAlignment="1" applyProtection="1">
      <alignment horizontal="center" vertical="center" wrapText="1"/>
      <protection locked="0"/>
    </xf>
    <xf numFmtId="9" fontId="34" fillId="0" borderId="3" xfId="0" applyNumberFormat="1" applyFont="1" applyFill="1" applyBorder="1" applyAlignment="1" applyProtection="1">
      <alignment horizontal="center" vertical="center" wrapText="1"/>
      <protection locked="0"/>
    </xf>
    <xf numFmtId="4" fontId="34" fillId="3" borderId="4" xfId="0" applyNumberFormat="1" applyFont="1" applyFill="1" applyBorder="1" applyAlignment="1" applyProtection="1">
      <alignment horizontal="center" vertical="center" wrapText="1"/>
      <protection locked="0"/>
    </xf>
    <xf numFmtId="4" fontId="34" fillId="3" borderId="3" xfId="0"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165" fontId="18" fillId="0" borderId="1" xfId="0" quotePrefix="1" applyNumberFormat="1" applyFont="1" applyFill="1" applyBorder="1" applyAlignment="1" applyProtection="1">
      <alignment horizontal="center" vertical="center" wrapText="1"/>
      <protection locked="0"/>
    </xf>
    <xf numFmtId="0" fontId="54" fillId="3" borderId="1" xfId="0" applyFont="1" applyFill="1" applyBorder="1" applyAlignment="1" applyProtection="1">
      <alignment horizontal="justify" vertical="top" wrapText="1"/>
      <protection locked="0"/>
    </xf>
    <xf numFmtId="0" fontId="22" fillId="0" borderId="1" xfId="0" applyFont="1" applyFill="1" applyBorder="1" applyAlignment="1" applyProtection="1">
      <alignment horizontal="justify" vertical="center" wrapText="1"/>
      <protection locked="0"/>
    </xf>
    <xf numFmtId="0" fontId="22" fillId="3"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center" wrapText="1"/>
      <protection locked="0"/>
    </xf>
    <xf numFmtId="9" fontId="22" fillId="0" borderId="1" xfId="0" applyNumberFormat="1" applyFont="1" applyFill="1" applyBorder="1" applyAlignment="1" applyProtection="1">
      <alignment horizontal="justify" vertical="center" wrapText="1"/>
      <protection locked="0"/>
    </xf>
    <xf numFmtId="9" fontId="39" fillId="0" borderId="1" xfId="0" applyNumberFormat="1" applyFont="1" applyFill="1" applyBorder="1" applyAlignment="1" applyProtection="1">
      <alignment horizontal="center" vertical="center" wrapText="1"/>
      <protection locked="0"/>
    </xf>
    <xf numFmtId="9" fontId="22" fillId="3" borderId="4" xfId="0" applyNumberFormat="1" applyFont="1" applyFill="1" applyBorder="1" applyAlignment="1" applyProtection="1">
      <alignment horizontal="justify" vertical="center" wrapText="1"/>
      <protection locked="0"/>
    </xf>
    <xf numFmtId="9" fontId="22" fillId="3" borderId="2" xfId="0" applyNumberFormat="1" applyFont="1" applyFill="1" applyBorder="1" applyAlignment="1" applyProtection="1">
      <alignment horizontal="justify" vertical="center" wrapText="1"/>
      <protection locked="0"/>
    </xf>
    <xf numFmtId="9" fontId="22" fillId="3" borderId="3" xfId="0" applyNumberFormat="1" applyFont="1" applyFill="1" applyBorder="1" applyAlignment="1" applyProtection="1">
      <alignment horizontal="justify" vertical="center" wrapText="1"/>
      <protection locked="0"/>
    </xf>
    <xf numFmtId="0" fontId="21" fillId="0" borderId="0" xfId="0" quotePrefix="1" applyFont="1" applyFill="1" applyBorder="1" applyAlignment="1" applyProtection="1">
      <alignment horizontal="center" vertical="center" wrapText="1"/>
      <protection locked="0"/>
    </xf>
    <xf numFmtId="165" fontId="18"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4" fontId="18" fillId="0" borderId="1" xfId="0" quotePrefix="1"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2" fontId="18" fillId="0" borderId="1"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9" fontId="32" fillId="0" borderId="4" xfId="0" applyNumberFormat="1" applyFont="1" applyFill="1" applyBorder="1" applyAlignment="1" applyProtection="1">
      <alignment horizontal="center" vertical="center" wrapText="1"/>
      <protection locked="0"/>
    </xf>
    <xf numFmtId="9" fontId="32" fillId="0" borderId="3" xfId="0" applyNumberFormat="1" applyFont="1" applyFill="1" applyBorder="1" applyAlignment="1" applyProtection="1">
      <alignment horizontal="center" vertical="center" wrapText="1"/>
      <protection locked="0"/>
    </xf>
    <xf numFmtId="4" fontId="31" fillId="0" borderId="4" xfId="0" applyNumberFormat="1" applyFont="1" applyFill="1" applyBorder="1" applyAlignment="1" applyProtection="1">
      <alignment horizontal="center" vertical="center" wrapText="1"/>
      <protection locked="0"/>
    </xf>
    <xf numFmtId="4" fontId="31" fillId="0" borderId="3" xfId="0" applyNumberFormat="1"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13" fillId="0" borderId="0" xfId="0" applyFont="1" applyAlignment="1">
      <alignment horizontal="center" vertical="center" wrapText="1"/>
    </xf>
    <xf numFmtId="166"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4" fontId="16" fillId="0" borderId="5" xfId="0" applyNumberFormat="1" applyFont="1" applyBorder="1" applyAlignment="1">
      <alignment horizontal="center" vertical="center" wrapText="1"/>
    </xf>
    <xf numFmtId="4" fontId="16" fillId="0" borderId="8" xfId="0" applyNumberFormat="1" applyFont="1" applyBorder="1" applyAlignment="1">
      <alignment horizontal="center" vertical="center" wrapText="1"/>
    </xf>
    <xf numFmtId="4" fontId="16" fillId="0" borderId="6" xfId="0" applyNumberFormat="1" applyFont="1" applyBorder="1" applyAlignment="1">
      <alignment horizontal="center" vertical="center" wrapText="1"/>
    </xf>
    <xf numFmtId="4" fontId="26" fillId="0" borderId="0" xfId="0" applyNumberFormat="1" applyFont="1" applyFill="1" applyAlignment="1">
      <alignment horizontal="left" vertical="top" wrapText="1"/>
    </xf>
    <xf numFmtId="0" fontId="22" fillId="0" borderId="0" xfId="0" applyFont="1" applyFill="1" applyAlignment="1">
      <alignment horizontal="left" vertical="center" wrapText="1"/>
    </xf>
    <xf numFmtId="0" fontId="22" fillId="0" borderId="0" xfId="0" applyFont="1" applyFill="1" applyBorder="1" applyAlignment="1">
      <alignment horizontal="left" vertical="center" wrapText="1"/>
    </xf>
    <xf numFmtId="4" fontId="26" fillId="0" borderId="0" xfId="0" applyNumberFormat="1" applyFont="1" applyFill="1" applyAlignment="1">
      <alignment horizontal="left" vertical="center" wrapText="1"/>
    </xf>
    <xf numFmtId="4" fontId="31" fillId="0" borderId="1" xfId="0" applyNumberFormat="1" applyFont="1" applyFill="1" applyBorder="1" applyAlignment="1" applyProtection="1">
      <alignment horizontal="center" vertical="center" wrapText="1"/>
      <protection locked="0"/>
    </xf>
    <xf numFmtId="4" fontId="31" fillId="3" borderId="1" xfId="0" applyNumberFormat="1" applyFont="1" applyFill="1" applyBorder="1" applyAlignment="1" applyProtection="1">
      <alignment vertical="center" wrapText="1"/>
      <protection locked="0"/>
    </xf>
    <xf numFmtId="4" fontId="54" fillId="3" borderId="1" xfId="0" applyNumberFormat="1" applyFont="1" applyFill="1" applyBorder="1" applyAlignment="1" applyProtection="1">
      <alignment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vmlDrawing" Target="../drawings/vmlDrawing1.v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1.bin"/><Relationship Id="rId13" Type="http://schemas.openxmlformats.org/officeDocument/2006/relationships/printerSettings" Target="../printerSettings/printerSettings36.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12" Type="http://schemas.openxmlformats.org/officeDocument/2006/relationships/printerSettings" Target="../printerSettings/printerSettings35.bin"/><Relationship Id="rId17" Type="http://schemas.openxmlformats.org/officeDocument/2006/relationships/printerSettings" Target="../printerSettings/printerSettings40.bin"/><Relationship Id="rId2" Type="http://schemas.openxmlformats.org/officeDocument/2006/relationships/printerSettings" Target="../printerSettings/printerSettings25.bin"/><Relationship Id="rId16" Type="http://schemas.openxmlformats.org/officeDocument/2006/relationships/printerSettings" Target="../printerSettings/printerSettings39.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printerSettings" Target="../printerSettings/printerSettings34.bin"/><Relationship Id="rId5" Type="http://schemas.openxmlformats.org/officeDocument/2006/relationships/printerSettings" Target="../printerSettings/printerSettings28.bin"/><Relationship Id="rId15" Type="http://schemas.openxmlformats.org/officeDocument/2006/relationships/printerSettings" Target="../printerSettings/printerSettings3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 Id="rId14"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R412"/>
  <sheetViews>
    <sheetView showZeros="0" tabSelected="1" showOutlineSymbols="0" view="pageBreakPreview" zoomScale="40" zoomScaleNormal="50" zoomScaleSheetLayoutView="46" workbookViewId="0">
      <selection activeCell="P1" sqref="P1"/>
    </sheetView>
  </sheetViews>
  <sheetFormatPr defaultRowHeight="26.25" outlineLevelRow="1" outlineLevelCol="2" x14ac:dyDescent="0.4"/>
  <cols>
    <col min="1" max="1" width="16" style="139" customWidth="1"/>
    <col min="2" max="2" width="116.625" style="318" customWidth="1"/>
    <col min="3" max="3" width="25.25" style="40" hidden="1" customWidth="1"/>
    <col min="4" max="4" width="22.5" style="40" hidden="1" customWidth="1"/>
    <col min="5" max="5" width="24.125" style="40" hidden="1" customWidth="1"/>
    <col min="6" max="6" width="26.375" style="140" customWidth="1"/>
    <col min="7" max="7" width="25.125" style="140" customWidth="1"/>
    <col min="8" max="8" width="22.625" style="141" customWidth="1" outlineLevel="2"/>
    <col min="9" max="9" width="19.75" style="142" customWidth="1" outlineLevel="2"/>
    <col min="10" max="10" width="24.25" style="140" customWidth="1" outlineLevel="2"/>
    <col min="11" max="11" width="22.625" style="142" customWidth="1" outlineLevel="2"/>
    <col min="12" max="12" width="26.625" style="142" customWidth="1" outlineLevel="2"/>
    <col min="13" max="14" width="23.75" style="142" hidden="1" customWidth="1" outlineLevel="2"/>
    <col min="15" max="15" width="23.75" style="142" customWidth="1" outlineLevel="2"/>
    <col min="16" max="16" width="163.25" style="318" customWidth="1"/>
    <col min="17" max="17" width="23.375" style="450" customWidth="1"/>
    <col min="18" max="18" width="17.125" style="40" customWidth="1"/>
    <col min="19" max="72" width="9" style="40" customWidth="1"/>
    <col min="73" max="16384" width="9" style="40"/>
  </cols>
  <sheetData>
    <row r="1" spans="1:18" ht="30.75" x14ac:dyDescent="0.45">
      <c r="A1" s="34"/>
      <c r="B1" s="347"/>
      <c r="C1" s="35"/>
      <c r="D1" s="35"/>
      <c r="E1" s="35"/>
      <c r="F1" s="36"/>
      <c r="G1" s="36"/>
      <c r="H1" s="37"/>
      <c r="I1" s="38"/>
      <c r="J1" s="36"/>
      <c r="K1" s="38"/>
      <c r="L1" s="38"/>
      <c r="M1" s="38"/>
      <c r="N1" s="38"/>
      <c r="O1" s="38"/>
      <c r="P1" s="317"/>
    </row>
    <row r="2" spans="1:18" ht="30.75" x14ac:dyDescent="0.45">
      <c r="A2" s="34"/>
      <c r="B2" s="347"/>
      <c r="C2" s="35"/>
      <c r="D2" s="35"/>
      <c r="E2" s="35"/>
      <c r="F2" s="36"/>
      <c r="G2" s="36"/>
      <c r="H2" s="37"/>
      <c r="I2" s="38"/>
      <c r="J2" s="36"/>
      <c r="K2" s="38"/>
      <c r="L2" s="38"/>
      <c r="M2" s="38"/>
      <c r="N2" s="38"/>
      <c r="O2" s="38"/>
      <c r="P2" s="317"/>
    </row>
    <row r="3" spans="1:18" ht="73.5" customHeight="1" x14ac:dyDescent="0.4">
      <c r="A3" s="423" t="s">
        <v>224</v>
      </c>
      <c r="B3" s="423"/>
      <c r="C3" s="423"/>
      <c r="D3" s="423"/>
      <c r="E3" s="423"/>
      <c r="F3" s="423"/>
      <c r="G3" s="423"/>
      <c r="H3" s="423"/>
      <c r="I3" s="423"/>
      <c r="J3" s="423"/>
      <c r="K3" s="423"/>
      <c r="L3" s="423"/>
      <c r="M3" s="423"/>
      <c r="N3" s="423"/>
      <c r="O3" s="423"/>
      <c r="P3" s="423"/>
    </row>
    <row r="4" spans="1:18" s="35" customFormat="1" ht="41.25" customHeight="1" x14ac:dyDescent="0.4">
      <c r="A4" s="41"/>
      <c r="B4" s="348"/>
      <c r="C4" s="41"/>
      <c r="D4" s="41"/>
      <c r="E4" s="41"/>
      <c r="F4" s="42"/>
      <c r="G4" s="42"/>
      <c r="H4" s="42"/>
      <c r="I4" s="42"/>
      <c r="J4" s="42"/>
      <c r="K4" s="43"/>
      <c r="L4" s="298"/>
      <c r="M4" s="43"/>
      <c r="N4" s="43"/>
      <c r="O4" s="43"/>
      <c r="P4" s="338" t="s">
        <v>54</v>
      </c>
      <c r="Q4" s="451"/>
    </row>
    <row r="5" spans="1:18" s="299" customFormat="1" ht="72.75" customHeight="1" x14ac:dyDescent="0.25">
      <c r="A5" s="425" t="s">
        <v>3</v>
      </c>
      <c r="B5" s="428" t="s">
        <v>8</v>
      </c>
      <c r="C5" s="426" t="s">
        <v>17</v>
      </c>
      <c r="D5" s="426" t="s">
        <v>18</v>
      </c>
      <c r="E5" s="426" t="s">
        <v>19</v>
      </c>
      <c r="F5" s="426" t="s">
        <v>181</v>
      </c>
      <c r="G5" s="426"/>
      <c r="H5" s="413" t="s">
        <v>207</v>
      </c>
      <c r="I5" s="413"/>
      <c r="J5" s="413"/>
      <c r="K5" s="413"/>
      <c r="L5" s="429" t="s">
        <v>66</v>
      </c>
      <c r="M5" s="339"/>
      <c r="N5" s="339"/>
      <c r="O5" s="429" t="s">
        <v>123</v>
      </c>
      <c r="P5" s="410" t="s">
        <v>182</v>
      </c>
      <c r="Q5" s="450"/>
    </row>
    <row r="6" spans="1:18" s="299" customFormat="1" ht="69.75" customHeight="1" x14ac:dyDescent="0.25">
      <c r="A6" s="425"/>
      <c r="B6" s="428"/>
      <c r="C6" s="426"/>
      <c r="D6" s="426"/>
      <c r="E6" s="426"/>
      <c r="F6" s="427" t="s">
        <v>64</v>
      </c>
      <c r="G6" s="426" t="s">
        <v>65</v>
      </c>
      <c r="H6" s="424" t="s">
        <v>7</v>
      </c>
      <c r="I6" s="424"/>
      <c r="J6" s="424" t="s">
        <v>6</v>
      </c>
      <c r="K6" s="424"/>
      <c r="L6" s="429"/>
      <c r="M6" s="339"/>
      <c r="N6" s="339"/>
      <c r="O6" s="429"/>
      <c r="P6" s="411"/>
      <c r="Q6" s="450"/>
    </row>
    <row r="7" spans="1:18" s="299" customFormat="1" ht="69.75" x14ac:dyDescent="0.25">
      <c r="A7" s="425"/>
      <c r="B7" s="428"/>
      <c r="C7" s="426"/>
      <c r="D7" s="426"/>
      <c r="E7" s="426"/>
      <c r="F7" s="427"/>
      <c r="G7" s="426"/>
      <c r="H7" s="340" t="s">
        <v>0</v>
      </c>
      <c r="I7" s="341" t="s">
        <v>12</v>
      </c>
      <c r="J7" s="342" t="s">
        <v>9</v>
      </c>
      <c r="K7" s="341" t="s">
        <v>2</v>
      </c>
      <c r="L7" s="429"/>
      <c r="M7" s="339"/>
      <c r="N7" s="339"/>
      <c r="O7" s="429"/>
      <c r="P7" s="412"/>
      <c r="Q7" s="450"/>
    </row>
    <row r="8" spans="1:18" s="58" customFormat="1" x14ac:dyDescent="0.25">
      <c r="A8" s="51">
        <v>1</v>
      </c>
      <c r="B8" s="51">
        <v>2</v>
      </c>
      <c r="C8" s="52">
        <v>4</v>
      </c>
      <c r="D8" s="52">
        <v>5</v>
      </c>
      <c r="E8" s="52">
        <v>6</v>
      </c>
      <c r="F8" s="52">
        <v>3</v>
      </c>
      <c r="G8" s="52">
        <v>4</v>
      </c>
      <c r="H8" s="54">
        <v>5</v>
      </c>
      <c r="I8" s="52">
        <v>6</v>
      </c>
      <c r="J8" s="52">
        <v>7</v>
      </c>
      <c r="K8" s="55">
        <v>8</v>
      </c>
      <c r="L8" s="55">
        <v>9</v>
      </c>
      <c r="M8" s="52"/>
      <c r="N8" s="52"/>
      <c r="O8" s="52">
        <v>10</v>
      </c>
      <c r="P8" s="55">
        <v>11</v>
      </c>
      <c r="Q8" s="302"/>
    </row>
    <row r="9" spans="1:18" s="300" customFormat="1" ht="51" x14ac:dyDescent="0.25">
      <c r="A9" s="425"/>
      <c r="B9" s="349" t="s">
        <v>48</v>
      </c>
      <c r="C9" s="61" t="e">
        <f>C10+C11+#REF!+C14</f>
        <v>#REF!</v>
      </c>
      <c r="D9" s="61" t="e">
        <f>D10+D11+#REF!+D14</f>
        <v>#REF!</v>
      </c>
      <c r="E9" s="61" t="e">
        <f>E10+E11+#REF!+#REF!+E14</f>
        <v>#REF!</v>
      </c>
      <c r="F9" s="61">
        <f>SUM(F10:F14)</f>
        <v>12194951.98</v>
      </c>
      <c r="G9" s="61">
        <f t="shared" ref="G9:O9" si="0">SUM(G10:G14)</f>
        <v>12406486.25</v>
      </c>
      <c r="H9" s="61">
        <f>SUM(H10:H14)</f>
        <v>7488952.4699999997</v>
      </c>
      <c r="I9" s="61">
        <f>H9/G9*100</f>
        <v>60.36</v>
      </c>
      <c r="J9" s="61">
        <f t="shared" si="0"/>
        <v>7312559.4400000004</v>
      </c>
      <c r="K9" s="61">
        <f>J9/G9*100</f>
        <v>58.94</v>
      </c>
      <c r="L9" s="61">
        <f t="shared" si="0"/>
        <v>12304770.32</v>
      </c>
      <c r="M9" s="61">
        <f t="shared" si="0"/>
        <v>1659056.35</v>
      </c>
      <c r="N9" s="61">
        <f t="shared" si="0"/>
        <v>0</v>
      </c>
      <c r="O9" s="61">
        <f t="shared" si="0"/>
        <v>101715.93</v>
      </c>
      <c r="P9" s="322"/>
      <c r="Q9" s="452"/>
      <c r="R9" s="449"/>
    </row>
    <row r="10" spans="1:18" s="299" customFormat="1" x14ac:dyDescent="0.25">
      <c r="A10" s="425"/>
      <c r="B10" s="346" t="s">
        <v>4</v>
      </c>
      <c r="C10" s="61" t="e">
        <f>#REF!+#REF!+#REF!+#REF!+#REF!+#REF!+#REF!+#REF!+#REF!+#REF!+#REF!+#REF!+#REF!+#REF!+#REF!+#REF!+#REF!+#REF!+#REF!+#REF!+#REF!+#REF!</f>
        <v>#REF!</v>
      </c>
      <c r="D10" s="61" t="e">
        <f>#REF!+#REF!+#REF!+#REF!+#REF!+#REF!+#REF!+#REF!+#REF!+#REF!+#REF!+#REF!+#REF!+#REF!+#REF!+#REF!+#REF!+#REF!+#REF!+#REF!+#REF!+#REF!</f>
        <v>#REF!</v>
      </c>
      <c r="E10" s="61" t="e">
        <f>#REF!+#REF!+#REF!+#REF!+#REF!+#REF!+#REF!+#REF!+#REF!+#REF!+#REF!+#REF!+#REF!+#REF!+#REF!+#REF!+#REF!+#REF!+#REF!+#REF!+#REF!+#REF!</f>
        <v>#REF!</v>
      </c>
      <c r="F10" s="61">
        <f t="shared" ref="F10:H14" si="1">F16+F23+F30+F37+F43+F49+F55+F63+F142+F149+F167+F174+F181</f>
        <v>37443.129999999997</v>
      </c>
      <c r="G10" s="61">
        <f t="shared" si="1"/>
        <v>38948.17</v>
      </c>
      <c r="H10" s="61">
        <f t="shared" si="1"/>
        <v>31168.44</v>
      </c>
      <c r="I10" s="61">
        <f t="shared" ref="I10:I14" si="2">H10/G10*100</f>
        <v>80.03</v>
      </c>
      <c r="J10" s="61">
        <f>J16+J23+J30+J37+J43+J49+J55+J63+J142+J149+J167+J174+J181</f>
        <v>22195.79</v>
      </c>
      <c r="K10" s="61">
        <f t="shared" ref="K10:K14" si="3">J10/G10*100</f>
        <v>56.99</v>
      </c>
      <c r="L10" s="61">
        <f t="shared" ref="L10:O14" si="4">L16+L23+L30+L37+L43+L49+L55+L63+L142+L149+L167+L174+L181</f>
        <v>36226.339999999997</v>
      </c>
      <c r="M10" s="61">
        <f t="shared" si="4"/>
        <v>18576.37</v>
      </c>
      <c r="N10" s="61">
        <f t="shared" si="4"/>
        <v>0</v>
      </c>
      <c r="O10" s="61">
        <f t="shared" si="4"/>
        <v>2721.83</v>
      </c>
      <c r="P10" s="322"/>
      <c r="Q10" s="452"/>
      <c r="R10" s="449"/>
    </row>
    <row r="11" spans="1:18" s="299" customFormat="1" x14ac:dyDescent="0.25">
      <c r="A11" s="425"/>
      <c r="B11" s="346" t="s">
        <v>16</v>
      </c>
      <c r="C11" s="61" t="e">
        <f>C43++C20+#REF!+#REF!+#REF!+#REF!+#REF!+#REF!+#REF!+#REF!+#REF!+#REF!+#REF!+#REF!+#REF!+#REF!+#REF!+#REF!+#REF!+#REF!+#REF!+#REF!</f>
        <v>#REF!</v>
      </c>
      <c r="D11" s="61" t="e">
        <f>D43++D20+#REF!+#REF!+#REF!+#REF!+#REF!+#REF!+#REF!+#REF!+#REF!+#REF!+#REF!+#REF!+#REF!+#REF!+#REF!+#REF!+#REF!+#REF!+#REF!+#REF!</f>
        <v>#REF!</v>
      </c>
      <c r="E11" s="61" t="e">
        <f>E43++E20+#REF!+#REF!+#REF!+#REF!+#REF!+#REF!+#REF!+#REF!+#REF!+#REF!+#REF!+#REF!+#REF!+#REF!+#REF!+#REF!+#REF!+#REF!+#REF!+#REF!</f>
        <v>#REF!</v>
      </c>
      <c r="F11" s="61">
        <f t="shared" si="1"/>
        <v>11628133.66</v>
      </c>
      <c r="G11" s="61">
        <f t="shared" si="1"/>
        <v>11800222.859999999</v>
      </c>
      <c r="H11" s="61">
        <f t="shared" si="1"/>
        <v>7167845.0899999999</v>
      </c>
      <c r="I11" s="61">
        <f t="shared" si="2"/>
        <v>60.74</v>
      </c>
      <c r="J11" s="61">
        <f>J17+J24+J31+J38+J44+J50+J56+J64+J143+J150+J168+J175+J182</f>
        <v>7000424.71</v>
      </c>
      <c r="K11" s="61">
        <f t="shared" si="3"/>
        <v>59.32</v>
      </c>
      <c r="L11" s="61">
        <f t="shared" si="4"/>
        <v>11711998.26</v>
      </c>
      <c r="M11" s="61">
        <f t="shared" si="4"/>
        <v>1437380.31</v>
      </c>
      <c r="N11" s="61">
        <f t="shared" si="4"/>
        <v>0</v>
      </c>
      <c r="O11" s="61">
        <f t="shared" si="4"/>
        <v>88224.6</v>
      </c>
      <c r="P11" s="322"/>
      <c r="Q11" s="452"/>
      <c r="R11" s="449"/>
    </row>
    <row r="12" spans="1:18" s="299" customFormat="1" x14ac:dyDescent="0.25">
      <c r="A12" s="425"/>
      <c r="B12" s="346" t="s">
        <v>11</v>
      </c>
      <c r="C12" s="61" t="e">
        <f>#REF!+#REF!+#REF!+#REF!+#REF!+#REF!+#REF!+#REF!+#REF!+#REF!+#REF!+#REF!+#REF!+#REF!+#REF!+#REF!+#REF!+#REF!+C46+#REF!+#REF!+#REF!+#REF!</f>
        <v>#REF!</v>
      </c>
      <c r="D12" s="61" t="e">
        <f>#REF!+#REF!+#REF!+#REF!+#REF!+#REF!+#REF!+#REF!+#REF!+#REF!+#REF!+#REF!+#REF!+#REF!+#REF!+#REF!+#REF!+#REF!+D46+#REF!+#REF!+#REF!+#REF!</f>
        <v>#REF!</v>
      </c>
      <c r="E12" s="61" t="e">
        <f>#REF!+#REF!+#REF!+#REF!+#REF!+#REF!+#REF!+#REF!+#REF!+#REF!+#REF!+#REF!+#REF!+#REF!+#REF!+#REF!+#REF!+#REF!+E46+#REF!+#REF!+#REF!+#REF!</f>
        <v>#REF!</v>
      </c>
      <c r="F12" s="61">
        <f t="shared" si="1"/>
        <v>311642.33</v>
      </c>
      <c r="G12" s="61">
        <f t="shared" si="1"/>
        <v>349582.35</v>
      </c>
      <c r="H12" s="61">
        <f t="shared" si="1"/>
        <v>191503.4</v>
      </c>
      <c r="I12" s="61">
        <f t="shared" si="2"/>
        <v>54.78</v>
      </c>
      <c r="J12" s="61">
        <f>J18+J25+J32+J39+K45+J51+J57+J65+J144+J151+J169+J176+J183</f>
        <v>191503.4</v>
      </c>
      <c r="K12" s="61">
        <f t="shared" si="3"/>
        <v>54.78</v>
      </c>
      <c r="L12" s="61">
        <f t="shared" si="4"/>
        <v>343960.22</v>
      </c>
      <c r="M12" s="61">
        <f t="shared" si="4"/>
        <v>201343.76</v>
      </c>
      <c r="N12" s="61">
        <f t="shared" si="4"/>
        <v>0</v>
      </c>
      <c r="O12" s="61">
        <f t="shared" si="4"/>
        <v>5622.13</v>
      </c>
      <c r="P12" s="322"/>
      <c r="Q12" s="452"/>
      <c r="R12" s="449"/>
    </row>
    <row r="13" spans="1:18" s="299" customFormat="1" x14ac:dyDescent="0.25">
      <c r="A13" s="425"/>
      <c r="B13" s="346" t="s">
        <v>13</v>
      </c>
      <c r="C13" s="61" t="e">
        <f>#REF!+#REF!+#REF!+#REF!+#REF!+#REF!+#REF!+#REF!+#REF!+#REF!+#REF!+#REF!+#REF!+#REF!+#REF!+#REF!+#REF!+#REF!+C47+#REF!+#REF!+#REF!+#REF!</f>
        <v>#REF!</v>
      </c>
      <c r="D13" s="61" t="e">
        <f>#REF!+#REF!+#REF!+#REF!+#REF!+#REF!+#REF!+#REF!+#REF!+#REF!+#REF!+#REF!+#REF!+#REF!+#REF!+#REF!+#REF!+#REF!+D47+#REF!+#REF!+#REF!+#REF!</f>
        <v>#REF!</v>
      </c>
      <c r="E13" s="61" t="e">
        <f>#REF!+#REF!+#REF!+#REF!+#REF!+#REF!+#REF!+#REF!+#REF!+#REF!+#REF!+#REF!+#REF!+#REF!+#REF!+#REF!+#REF!+#REF!+E47+#REF!+#REF!+#REF!+#REF!</f>
        <v>#REF!</v>
      </c>
      <c r="F13" s="61">
        <f t="shared" si="1"/>
        <v>106008.77</v>
      </c>
      <c r="G13" s="61">
        <f t="shared" si="1"/>
        <v>106008.78</v>
      </c>
      <c r="H13" s="61">
        <f t="shared" si="1"/>
        <v>62121.08</v>
      </c>
      <c r="I13" s="61">
        <f t="shared" si="2"/>
        <v>58.6</v>
      </c>
      <c r="J13" s="61">
        <f>J19+J26+J33+J40+J46+J52+J58+J66+J145+J152+J170+J177+J184</f>
        <v>62121.08</v>
      </c>
      <c r="K13" s="61">
        <f t="shared" si="3"/>
        <v>58.6</v>
      </c>
      <c r="L13" s="61">
        <f t="shared" si="4"/>
        <v>104252.87</v>
      </c>
      <c r="M13" s="61">
        <f t="shared" si="4"/>
        <v>1755.91</v>
      </c>
      <c r="N13" s="61">
        <f t="shared" si="4"/>
        <v>0</v>
      </c>
      <c r="O13" s="61">
        <f t="shared" si="4"/>
        <v>1755.91</v>
      </c>
      <c r="P13" s="322"/>
      <c r="Q13" s="452"/>
      <c r="R13" s="449"/>
    </row>
    <row r="14" spans="1:18" s="299" customFormat="1" x14ac:dyDescent="0.25">
      <c r="A14" s="425"/>
      <c r="B14" s="346" t="s">
        <v>5</v>
      </c>
      <c r="C14" s="61" t="e">
        <f>#REF!+#REF!+#REF!+#REF!+#REF!+#REF!+#REF!+#REF!+#REF!+#REF!+#REF!+#REF!+#REF!+#REF!+#REF!+#REF!+#REF!+#REF!+#REF!+#REF!+#REF!</f>
        <v>#REF!</v>
      </c>
      <c r="D14" s="61" t="e">
        <f>#REF!+#REF!+#REF!+#REF!+#REF!+#REF!+#REF!+#REF!+#REF!+#REF!+#REF!+#REF!+#REF!+#REF!+#REF!+#REF!+#REF!+#REF!+#REF!+#REF!+#REF!</f>
        <v>#REF!</v>
      </c>
      <c r="E14" s="61" t="e">
        <f>#REF!+#REF!+#REF!+#REF!+#REF!+#REF!+#REF!+#REF!+#REF!+#REF!+#REF!+#REF!+#REF!+#REF!+#REF!+#REF!+#REF!+#REF!+#REF!+#REF!+#REF!</f>
        <v>#REF!</v>
      </c>
      <c r="F14" s="61">
        <f t="shared" si="1"/>
        <v>111724.09</v>
      </c>
      <c r="G14" s="61">
        <f t="shared" si="1"/>
        <v>111724.09</v>
      </c>
      <c r="H14" s="61">
        <f t="shared" si="1"/>
        <v>36314.46</v>
      </c>
      <c r="I14" s="61">
        <f t="shared" si="2"/>
        <v>32.5</v>
      </c>
      <c r="J14" s="61">
        <f>J20+J27+J34+J41+J47+J53+J59+J67+J146+J153+J171+J178+J185</f>
        <v>36314.46</v>
      </c>
      <c r="K14" s="61">
        <f t="shared" si="3"/>
        <v>32.5</v>
      </c>
      <c r="L14" s="61">
        <f t="shared" si="4"/>
        <v>108332.63</v>
      </c>
      <c r="M14" s="61">
        <f t="shared" si="4"/>
        <v>0</v>
      </c>
      <c r="N14" s="61">
        <f t="shared" si="4"/>
        <v>0</v>
      </c>
      <c r="O14" s="61">
        <f t="shared" si="4"/>
        <v>3391.46</v>
      </c>
      <c r="P14" s="322"/>
      <c r="Q14" s="452"/>
      <c r="R14" s="449"/>
    </row>
    <row r="15" spans="1:18" s="300" customFormat="1" ht="146.25" customHeight="1" x14ac:dyDescent="0.25">
      <c r="A15" s="364" t="s">
        <v>56</v>
      </c>
      <c r="B15" s="349" t="s">
        <v>190</v>
      </c>
      <c r="C15" s="61" t="e">
        <f>SUM(C20:C20)</f>
        <v>#REF!</v>
      </c>
      <c r="D15" s="61" t="e">
        <f>SUM(D20:D20)</f>
        <v>#REF!</v>
      </c>
      <c r="E15" s="61" t="e">
        <f>SUM(E20:E20)</f>
        <v>#REF!</v>
      </c>
      <c r="F15" s="61">
        <f>F16+F17+F18+F19+F20</f>
        <v>206597.24</v>
      </c>
      <c r="G15" s="61">
        <f t="shared" ref="G15:J15" si="5">G16+G17+G18+G19+G20</f>
        <v>206597.24</v>
      </c>
      <c r="H15" s="61">
        <f t="shared" si="5"/>
        <v>132890.07999999999</v>
      </c>
      <c r="I15" s="70">
        <f>H15/G15</f>
        <v>0.64</v>
      </c>
      <c r="J15" s="61">
        <f t="shared" si="5"/>
        <v>132890.07999999999</v>
      </c>
      <c r="K15" s="174">
        <f>J15/G15</f>
        <v>0.64</v>
      </c>
      <c r="L15" s="61">
        <f t="shared" ref="L15" si="6">L16+L17+L18+L19+L20</f>
        <v>206597.24</v>
      </c>
      <c r="M15" s="61">
        <f t="shared" ref="M15" si="7">M16+M17+M18+M19+M20</f>
        <v>0</v>
      </c>
      <c r="N15" s="61">
        <f t="shared" ref="N15" si="8">N16+N17+N18+N19+N20</f>
        <v>0</v>
      </c>
      <c r="O15" s="61">
        <f t="shared" ref="O15" si="9">O16+O17+O18+O19+O20</f>
        <v>0</v>
      </c>
      <c r="P15" s="416" t="s">
        <v>203</v>
      </c>
      <c r="Q15" s="452"/>
    </row>
    <row r="16" spans="1:18" s="300" customFormat="1" x14ac:dyDescent="0.25">
      <c r="A16" s="364"/>
      <c r="B16" s="346" t="s">
        <v>4</v>
      </c>
      <c r="C16" s="61"/>
      <c r="D16" s="61"/>
      <c r="E16" s="61"/>
      <c r="F16" s="147"/>
      <c r="G16" s="147"/>
      <c r="H16" s="147"/>
      <c r="I16" s="148"/>
      <c r="J16" s="147"/>
      <c r="K16" s="148"/>
      <c r="L16" s="147"/>
      <c r="M16" s="148"/>
      <c r="N16" s="148"/>
      <c r="O16" s="147"/>
      <c r="P16" s="416"/>
      <c r="Q16" s="452"/>
    </row>
    <row r="17" spans="1:17" s="300" customFormat="1" x14ac:dyDescent="0.25">
      <c r="A17" s="364"/>
      <c r="B17" s="346" t="s">
        <v>16</v>
      </c>
      <c r="C17" s="61"/>
      <c r="D17" s="61"/>
      <c r="E17" s="61"/>
      <c r="F17" s="147">
        <v>162038.70000000001</v>
      </c>
      <c r="G17" s="147">
        <v>162038.70000000001</v>
      </c>
      <c r="H17" s="147">
        <v>88331.54</v>
      </c>
      <c r="I17" s="148">
        <f>H17/G17</f>
        <v>0.55000000000000004</v>
      </c>
      <c r="J17" s="147">
        <v>88331.54</v>
      </c>
      <c r="K17" s="148">
        <f>J17/G17</f>
        <v>0.55000000000000004</v>
      </c>
      <c r="L17" s="147">
        <v>162038.70000000001</v>
      </c>
      <c r="M17" s="148"/>
      <c r="N17" s="148"/>
      <c r="O17" s="147">
        <f>G17-L17</f>
        <v>0</v>
      </c>
      <c r="P17" s="416"/>
      <c r="Q17" s="452"/>
    </row>
    <row r="18" spans="1:17" s="300" customFormat="1" x14ac:dyDescent="0.25">
      <c r="A18" s="364"/>
      <c r="B18" s="346" t="s">
        <v>11</v>
      </c>
      <c r="C18" s="61"/>
      <c r="D18" s="61"/>
      <c r="E18" s="61"/>
      <c r="F18" s="147"/>
      <c r="G18" s="147"/>
      <c r="H18" s="147"/>
      <c r="I18" s="148"/>
      <c r="J18" s="147"/>
      <c r="K18" s="148"/>
      <c r="L18" s="147"/>
      <c r="M18" s="148"/>
      <c r="N18" s="148"/>
      <c r="O18" s="147"/>
      <c r="P18" s="416"/>
      <c r="Q18" s="452"/>
    </row>
    <row r="19" spans="1:17" s="300" customFormat="1" x14ac:dyDescent="0.25">
      <c r="A19" s="364"/>
      <c r="B19" s="346" t="s">
        <v>13</v>
      </c>
      <c r="C19" s="61"/>
      <c r="D19" s="61"/>
      <c r="E19" s="61"/>
      <c r="F19" s="147">
        <v>44558.54</v>
      </c>
      <c r="G19" s="147">
        <v>44558.54</v>
      </c>
      <c r="H19" s="147">
        <v>44558.54</v>
      </c>
      <c r="I19" s="148">
        <f>H19/G19</f>
        <v>1</v>
      </c>
      <c r="J19" s="147">
        <v>44558.54</v>
      </c>
      <c r="K19" s="148">
        <f>J19/G19</f>
        <v>1</v>
      </c>
      <c r="L19" s="147">
        <v>44558.54</v>
      </c>
      <c r="M19" s="148"/>
      <c r="N19" s="148"/>
      <c r="O19" s="147">
        <f>G19-L19</f>
        <v>0</v>
      </c>
      <c r="P19" s="416"/>
      <c r="Q19" s="452"/>
    </row>
    <row r="20" spans="1:17" s="299" customFormat="1" x14ac:dyDescent="0.25">
      <c r="A20" s="364"/>
      <c r="B20" s="346" t="s">
        <v>5</v>
      </c>
      <c r="C20" s="65" t="e">
        <f>#REF!+#REF!+#REF!+#REF!+#REF!+#REF!+#REF!+#REF!+#REF!</f>
        <v>#REF!</v>
      </c>
      <c r="D20" s="65" t="e">
        <f>#REF!+#REF!+#REF!+#REF!+#REF!+#REF!+#REF!+#REF!+#REF!</f>
        <v>#REF!</v>
      </c>
      <c r="E20" s="65" t="e">
        <f>#REF!+#REF!+#REF!+#REF!+#REF!+#REF!+#REF!+#REF!+#REF!</f>
        <v>#REF!</v>
      </c>
      <c r="F20" s="147"/>
      <c r="G20" s="147"/>
      <c r="H20" s="147"/>
      <c r="I20" s="148"/>
      <c r="J20" s="147"/>
      <c r="K20" s="148"/>
      <c r="L20" s="147"/>
      <c r="M20" s="148"/>
      <c r="N20" s="148"/>
      <c r="O20" s="147"/>
      <c r="P20" s="416"/>
      <c r="Q20" s="452"/>
    </row>
    <row r="21" spans="1:17" x14ac:dyDescent="0.4">
      <c r="A21" s="430" t="s">
        <v>14</v>
      </c>
      <c r="B21" s="402" t="s">
        <v>199</v>
      </c>
      <c r="C21" s="61" t="e">
        <f>SUM(C25:C27)</f>
        <v>#REF!</v>
      </c>
      <c r="D21" s="61" t="e">
        <f>SUM(D25:D27)</f>
        <v>#REF!</v>
      </c>
      <c r="E21" s="61" t="e">
        <f>SUM(E25:E27)</f>
        <v>#REF!</v>
      </c>
      <c r="F21" s="404">
        <f>F23+F24+F25</f>
        <v>8406994.8499999996</v>
      </c>
      <c r="G21" s="404">
        <f t="shared" ref="G21:H21" si="10">G23+G24+G25</f>
        <v>8452399.0500000007</v>
      </c>
      <c r="H21" s="404">
        <f t="shared" si="10"/>
        <v>5288860.99</v>
      </c>
      <c r="I21" s="432">
        <f>H21/G21</f>
        <v>0.63</v>
      </c>
      <c r="J21" s="404">
        <f>J23+J24+J25</f>
        <v>5242624.2300000004</v>
      </c>
      <c r="K21" s="406">
        <f>J21/G21</f>
        <v>0.62</v>
      </c>
      <c r="L21" s="404">
        <f>L23+L24+L25</f>
        <v>8412063.9199999999</v>
      </c>
      <c r="M21" s="61">
        <f t="shared" ref="M21:O21" si="11">M23+M24+M25</f>
        <v>0</v>
      </c>
      <c r="N21" s="61">
        <f t="shared" si="11"/>
        <v>0</v>
      </c>
      <c r="O21" s="404">
        <f t="shared" si="11"/>
        <v>40335.129999999997</v>
      </c>
      <c r="P21" s="399" t="s">
        <v>215</v>
      </c>
      <c r="Q21" s="452"/>
    </row>
    <row r="22" spans="1:17" ht="243" customHeight="1" x14ac:dyDescent="0.4">
      <c r="A22" s="431"/>
      <c r="B22" s="403"/>
      <c r="C22" s="61"/>
      <c r="D22" s="61"/>
      <c r="E22" s="61"/>
      <c r="F22" s="405"/>
      <c r="G22" s="405"/>
      <c r="H22" s="405"/>
      <c r="I22" s="433"/>
      <c r="J22" s="405"/>
      <c r="K22" s="407"/>
      <c r="L22" s="405"/>
      <c r="M22" s="61"/>
      <c r="N22" s="61"/>
      <c r="O22" s="405"/>
      <c r="P22" s="399"/>
      <c r="Q22" s="452"/>
    </row>
    <row r="23" spans="1:17" ht="49.5" customHeight="1" x14ac:dyDescent="0.4">
      <c r="A23" s="361"/>
      <c r="B23" s="346" t="s">
        <v>4</v>
      </c>
      <c r="C23" s="61"/>
      <c r="D23" s="61"/>
      <c r="E23" s="61"/>
      <c r="F23" s="61"/>
      <c r="G23" s="61"/>
      <c r="H23" s="61"/>
      <c r="I23" s="79"/>
      <c r="J23" s="61"/>
      <c r="K23" s="79"/>
      <c r="L23" s="61"/>
      <c r="M23" s="79"/>
      <c r="N23" s="79"/>
      <c r="O23" s="61"/>
      <c r="P23" s="400"/>
      <c r="Q23" s="452"/>
    </row>
    <row r="24" spans="1:17" ht="49.5" customHeight="1" x14ac:dyDescent="0.4">
      <c r="A24" s="361"/>
      <c r="B24" s="346" t="s">
        <v>16</v>
      </c>
      <c r="C24" s="61"/>
      <c r="D24" s="61"/>
      <c r="E24" s="61"/>
      <c r="F24" s="147">
        <v>8393284.5999999996</v>
      </c>
      <c r="G24" s="147">
        <v>8436572.8000000007</v>
      </c>
      <c r="H24" s="147">
        <f>5283601.5-1100</f>
        <v>5282501.5</v>
      </c>
      <c r="I24" s="148">
        <f>H24/G24</f>
        <v>0.63</v>
      </c>
      <c r="J24" s="147">
        <v>5236264.74</v>
      </c>
      <c r="K24" s="148">
        <f>J24/G24</f>
        <v>0.62</v>
      </c>
      <c r="L24" s="147">
        <f>23887.1+8372293.07+57.5</f>
        <v>8396237.6699999999</v>
      </c>
      <c r="M24" s="323"/>
      <c r="N24" s="323"/>
      <c r="O24" s="147">
        <f>G24-L24</f>
        <v>40335.129999999997</v>
      </c>
      <c r="P24" s="400"/>
      <c r="Q24" s="452"/>
    </row>
    <row r="25" spans="1:17" ht="38.25" customHeight="1" x14ac:dyDescent="0.4">
      <c r="A25" s="324" t="s">
        <v>183</v>
      </c>
      <c r="B25" s="346" t="s">
        <v>11</v>
      </c>
      <c r="C25" s="65" t="e">
        <f>#REF!</f>
        <v>#REF!</v>
      </c>
      <c r="D25" s="65" t="e">
        <f>#REF!</f>
        <v>#REF!</v>
      </c>
      <c r="E25" s="65" t="e">
        <f>#REF!</f>
        <v>#REF!</v>
      </c>
      <c r="F25" s="65">
        <f>19667.63-F26</f>
        <v>13710.25</v>
      </c>
      <c r="G25" s="65">
        <f>21783.63-G26</f>
        <v>15826.25</v>
      </c>
      <c r="H25" s="65">
        <f>6511.3-H26</f>
        <v>6359.49</v>
      </c>
      <c r="I25" s="148">
        <f>H25/G25</f>
        <v>0.4</v>
      </c>
      <c r="J25" s="65">
        <f>6511.3-J26</f>
        <v>6359.49</v>
      </c>
      <c r="K25" s="148">
        <f>J25/G25</f>
        <v>0.4</v>
      </c>
      <c r="L25" s="208">
        <f>11034.24+4792.01</f>
        <v>15826.25</v>
      </c>
      <c r="M25" s="74"/>
      <c r="N25" s="74"/>
      <c r="O25" s="208">
        <f>G25-L25</f>
        <v>0</v>
      </c>
      <c r="P25" s="400"/>
      <c r="Q25" s="452"/>
    </row>
    <row r="26" spans="1:17" ht="49.5" customHeight="1" x14ac:dyDescent="0.4">
      <c r="A26" s="324"/>
      <c r="B26" s="346" t="s">
        <v>13</v>
      </c>
      <c r="C26" s="65" t="e">
        <f>#REF!</f>
        <v>#REF!</v>
      </c>
      <c r="D26" s="65" t="e">
        <f>#REF!</f>
        <v>#REF!</v>
      </c>
      <c r="E26" s="65" t="e">
        <f>#REF!</f>
        <v>#REF!</v>
      </c>
      <c r="F26" s="65">
        <v>5957.38</v>
      </c>
      <c r="G26" s="65">
        <v>5957.38</v>
      </c>
      <c r="H26" s="65">
        <f>J26</f>
        <v>151.81</v>
      </c>
      <c r="I26" s="74"/>
      <c r="J26" s="65">
        <v>151.81</v>
      </c>
      <c r="K26" s="74"/>
      <c r="L26" s="65">
        <v>5957.38</v>
      </c>
      <c r="M26" s="74"/>
      <c r="N26" s="74"/>
      <c r="O26" s="61"/>
      <c r="P26" s="400"/>
      <c r="Q26" s="452"/>
    </row>
    <row r="27" spans="1:17" ht="49.5" customHeight="1" x14ac:dyDescent="0.4">
      <c r="A27" s="324"/>
      <c r="B27" s="346" t="s">
        <v>5</v>
      </c>
      <c r="C27" s="65"/>
      <c r="D27" s="65"/>
      <c r="E27" s="65"/>
      <c r="F27" s="65"/>
      <c r="G27" s="65"/>
      <c r="H27" s="89"/>
      <c r="I27" s="90"/>
      <c r="J27" s="89"/>
      <c r="K27" s="90"/>
      <c r="L27" s="65"/>
      <c r="M27" s="74"/>
      <c r="N27" s="74"/>
      <c r="O27" s="325"/>
      <c r="P27" s="400"/>
      <c r="Q27" s="452"/>
    </row>
    <row r="28" spans="1:17" ht="408" customHeight="1" x14ac:dyDescent="0.4">
      <c r="A28" s="430" t="s">
        <v>15</v>
      </c>
      <c r="B28" s="402" t="s">
        <v>191</v>
      </c>
      <c r="C28" s="61" t="e">
        <f>SUM(C30:C34)</f>
        <v>#REF!</v>
      </c>
      <c r="D28" s="61" t="e">
        <f>SUM(D30:D34)</f>
        <v>#REF!</v>
      </c>
      <c r="E28" s="61" t="e">
        <f>SUM(E30:E34)</f>
        <v>#REF!</v>
      </c>
      <c r="F28" s="404">
        <f>F30+F31+F32+F33+F34</f>
        <v>371677.98</v>
      </c>
      <c r="G28" s="404">
        <f t="shared" ref="G28:O28" si="12">G30+G31+G32+G33+G34</f>
        <v>380361.78</v>
      </c>
      <c r="H28" s="404">
        <f t="shared" si="12"/>
        <v>269230.09999999998</v>
      </c>
      <c r="I28" s="406">
        <f t="shared" ref="I28:I32" si="13">H28/G28</f>
        <v>0.71</v>
      </c>
      <c r="J28" s="404">
        <f t="shared" si="12"/>
        <v>198099.6</v>
      </c>
      <c r="K28" s="406">
        <f t="shared" ref="K28:K32" si="14">J28/G28</f>
        <v>0.52</v>
      </c>
      <c r="L28" s="404">
        <f t="shared" si="12"/>
        <v>379705.55</v>
      </c>
      <c r="M28" s="61">
        <f t="shared" si="12"/>
        <v>0</v>
      </c>
      <c r="N28" s="61">
        <f t="shared" si="12"/>
        <v>0</v>
      </c>
      <c r="O28" s="404">
        <f t="shared" si="12"/>
        <v>656.23</v>
      </c>
      <c r="P28" s="395" t="s">
        <v>217</v>
      </c>
      <c r="Q28" s="452"/>
    </row>
    <row r="29" spans="1:17" ht="163.5" customHeight="1" x14ac:dyDescent="0.4">
      <c r="A29" s="431"/>
      <c r="B29" s="403"/>
      <c r="C29" s="61"/>
      <c r="D29" s="61"/>
      <c r="E29" s="61"/>
      <c r="F29" s="405"/>
      <c r="G29" s="405"/>
      <c r="H29" s="405"/>
      <c r="I29" s="407"/>
      <c r="J29" s="405"/>
      <c r="K29" s="407"/>
      <c r="L29" s="405"/>
      <c r="M29" s="61"/>
      <c r="N29" s="61"/>
      <c r="O29" s="405"/>
      <c r="P29" s="395"/>
      <c r="Q29" s="452"/>
    </row>
    <row r="30" spans="1:17" ht="45.75" customHeight="1" x14ac:dyDescent="0.4">
      <c r="A30" s="321"/>
      <c r="B30" s="346" t="s">
        <v>4</v>
      </c>
      <c r="C30" s="65" t="e">
        <f>#REF!</f>
        <v>#REF!</v>
      </c>
      <c r="D30" s="65" t="e">
        <f>#REF!</f>
        <v>#REF!</v>
      </c>
      <c r="E30" s="65" t="e">
        <f>#REF!</f>
        <v>#REF!</v>
      </c>
      <c r="F30" s="65"/>
      <c r="G30" s="65"/>
      <c r="H30" s="65"/>
      <c r="I30" s="74"/>
      <c r="J30" s="65"/>
      <c r="K30" s="74"/>
      <c r="L30" s="65"/>
      <c r="M30" s="74"/>
      <c r="N30" s="74"/>
      <c r="O30" s="65"/>
      <c r="P30" s="395"/>
      <c r="Q30" s="452"/>
    </row>
    <row r="31" spans="1:17" ht="72" customHeight="1" x14ac:dyDescent="0.4">
      <c r="A31" s="321"/>
      <c r="B31" s="346" t="s">
        <v>186</v>
      </c>
      <c r="C31" s="65"/>
      <c r="D31" s="65"/>
      <c r="E31" s="65"/>
      <c r="F31" s="65">
        <v>337024.5</v>
      </c>
      <c r="G31" s="65">
        <v>345708.3</v>
      </c>
      <c r="H31" s="65">
        <v>251282.2</v>
      </c>
      <c r="I31" s="148">
        <f t="shared" si="13"/>
        <v>0.73</v>
      </c>
      <c r="J31" s="65">
        <v>180151.7</v>
      </c>
      <c r="K31" s="148">
        <f t="shared" si="14"/>
        <v>0.52</v>
      </c>
      <c r="L31" s="147">
        <f>2968.49+181122.2+103663.57+57313.085</f>
        <v>345067.35</v>
      </c>
      <c r="M31" s="148"/>
      <c r="N31" s="148"/>
      <c r="O31" s="367">
        <f t="shared" ref="O31" si="15">G31-L31</f>
        <v>640.95000000000005</v>
      </c>
      <c r="P31" s="395"/>
      <c r="Q31" s="452"/>
    </row>
    <row r="32" spans="1:17" ht="72" customHeight="1" x14ac:dyDescent="0.4">
      <c r="A32" s="321"/>
      <c r="B32" s="346" t="s">
        <v>11</v>
      </c>
      <c r="C32" s="65"/>
      <c r="D32" s="65"/>
      <c r="E32" s="65"/>
      <c r="F32" s="65">
        <v>19330.919999999998</v>
      </c>
      <c r="G32" s="65">
        <f>F32</f>
        <v>19330.919999999998</v>
      </c>
      <c r="H32" s="65">
        <f>J32</f>
        <v>17947.900000000001</v>
      </c>
      <c r="I32" s="148">
        <f t="shared" si="13"/>
        <v>0.93</v>
      </c>
      <c r="J32" s="65">
        <v>17947.900000000001</v>
      </c>
      <c r="K32" s="148">
        <f t="shared" si="14"/>
        <v>0.93</v>
      </c>
      <c r="L32" s="147">
        <f>15749.98+3565.66</f>
        <v>19315.64</v>
      </c>
      <c r="M32" s="148"/>
      <c r="N32" s="148"/>
      <c r="O32" s="147">
        <f>G32-L32</f>
        <v>15.28</v>
      </c>
      <c r="P32" s="395"/>
      <c r="Q32" s="452"/>
    </row>
    <row r="33" spans="1:17" ht="72" customHeight="1" x14ac:dyDescent="0.4">
      <c r="A33" s="321"/>
      <c r="B33" s="346" t="s">
        <v>13</v>
      </c>
      <c r="C33" s="65"/>
      <c r="D33" s="65"/>
      <c r="E33" s="65"/>
      <c r="F33" s="65">
        <v>15322.56</v>
      </c>
      <c r="G33" s="65">
        <f>F33</f>
        <v>15322.56</v>
      </c>
      <c r="H33" s="65">
        <v>0</v>
      </c>
      <c r="I33" s="148">
        <f t="shared" ref="I33" si="16">H33/G33</f>
        <v>0</v>
      </c>
      <c r="J33" s="65"/>
      <c r="K33" s="148">
        <f t="shared" ref="K33" si="17">J33/G33</f>
        <v>0</v>
      </c>
      <c r="L33" s="65">
        <v>15322.56</v>
      </c>
      <c r="M33" s="74"/>
      <c r="N33" s="74"/>
      <c r="O33" s="147">
        <f>G33-L33</f>
        <v>0</v>
      </c>
      <c r="P33" s="395"/>
      <c r="Q33" s="452"/>
    </row>
    <row r="34" spans="1:17" ht="87.75" customHeight="1" x14ac:dyDescent="0.4">
      <c r="A34" s="321"/>
      <c r="B34" s="346" t="s">
        <v>5</v>
      </c>
      <c r="C34" s="65" t="e">
        <f>#REF!</f>
        <v>#REF!</v>
      </c>
      <c r="D34" s="65" t="e">
        <f>#REF!</f>
        <v>#REF!</v>
      </c>
      <c r="E34" s="65" t="e">
        <f>#REF!</f>
        <v>#REF!</v>
      </c>
      <c r="F34" s="65"/>
      <c r="G34" s="65"/>
      <c r="H34" s="65"/>
      <c r="I34" s="74"/>
      <c r="J34" s="65"/>
      <c r="K34" s="74"/>
      <c r="L34" s="65"/>
      <c r="M34" s="74"/>
      <c r="N34" s="74"/>
      <c r="O34" s="325"/>
      <c r="P34" s="395"/>
      <c r="Q34" s="452"/>
    </row>
    <row r="35" spans="1:17" s="301" customFormat="1" ht="96" customHeight="1" x14ac:dyDescent="0.25">
      <c r="A35" s="364" t="s">
        <v>57</v>
      </c>
      <c r="B35" s="349" t="s">
        <v>69</v>
      </c>
      <c r="C35" s="61" t="e">
        <f>#REF!+#REF!+#REF!+#REF!+#REF!</f>
        <v>#REF!</v>
      </c>
      <c r="D35" s="61" t="e">
        <f>#REF!+#REF!+#REF!+#REF!+#REF!</f>
        <v>#REF!</v>
      </c>
      <c r="E35" s="61" t="e">
        <f>#REF!+#REF!+#REF!+#REF!+#REF!</f>
        <v>#REF!</v>
      </c>
      <c r="F35" s="61"/>
      <c r="G35" s="61"/>
      <c r="H35" s="99"/>
      <c r="I35" s="70"/>
      <c r="J35" s="61"/>
      <c r="K35" s="133"/>
      <c r="L35" s="70"/>
      <c r="M35" s="70"/>
      <c r="N35" s="70"/>
      <c r="O35" s="70"/>
      <c r="P35" s="326" t="s">
        <v>124</v>
      </c>
      <c r="Q35" s="452"/>
    </row>
    <row r="36" spans="1:17" ht="372" customHeight="1" x14ac:dyDescent="0.4">
      <c r="A36" s="345" t="s">
        <v>1</v>
      </c>
      <c r="B36" s="350" t="s">
        <v>192</v>
      </c>
      <c r="C36" s="61" t="e">
        <f>SUM(C37:C41)</f>
        <v>#REF!</v>
      </c>
      <c r="D36" s="61" t="e">
        <f>SUM(D37:D41)</f>
        <v>#REF!</v>
      </c>
      <c r="E36" s="61" t="e">
        <f>SUM(E37:E41)</f>
        <v>#REF!</v>
      </c>
      <c r="F36" s="61">
        <f>F37+F38+F39</f>
        <v>174321.68</v>
      </c>
      <c r="G36" s="61">
        <f t="shared" ref="G36:H36" si="18">G37+G38+G39</f>
        <v>174307.38</v>
      </c>
      <c r="H36" s="61">
        <f t="shared" si="18"/>
        <v>138536.89000000001</v>
      </c>
      <c r="I36" s="174">
        <f t="shared" ref="I36" si="19">H36/G36</f>
        <v>0.79</v>
      </c>
      <c r="J36" s="121">
        <f>J37+J38+J39</f>
        <v>135254.39000000001</v>
      </c>
      <c r="K36" s="174">
        <f t="shared" ref="K36" si="20">J36/G36</f>
        <v>0.78</v>
      </c>
      <c r="L36" s="61">
        <f>L37+L38+L39</f>
        <v>174307.38</v>
      </c>
      <c r="M36" s="61">
        <f t="shared" ref="M36:O36" si="21">M37+M38+M39</f>
        <v>0</v>
      </c>
      <c r="N36" s="61">
        <f t="shared" si="21"/>
        <v>0</v>
      </c>
      <c r="O36" s="121">
        <f t="shared" si="21"/>
        <v>0</v>
      </c>
      <c r="P36" s="399" t="s">
        <v>216</v>
      </c>
      <c r="Q36" s="452"/>
    </row>
    <row r="37" spans="1:17" ht="75" customHeight="1" x14ac:dyDescent="0.4">
      <c r="A37" s="321"/>
      <c r="B37" s="346" t="s">
        <v>4</v>
      </c>
      <c r="C37" s="65" t="e">
        <f>#REF!</f>
        <v>#REF!</v>
      </c>
      <c r="D37" s="65" t="e">
        <f>#REF!</f>
        <v>#REF!</v>
      </c>
      <c r="E37" s="65" t="e">
        <f>#REF!</f>
        <v>#REF!</v>
      </c>
      <c r="F37" s="65">
        <v>100.1</v>
      </c>
      <c r="G37" s="65">
        <v>85.8</v>
      </c>
      <c r="H37" s="125">
        <v>85.8</v>
      </c>
      <c r="I37" s="148">
        <f t="shared" ref="I37:I39" si="22">H37/G37</f>
        <v>1</v>
      </c>
      <c r="J37" s="125">
        <v>0</v>
      </c>
      <c r="K37" s="130">
        <f t="shared" ref="K37:K39" si="23">J37/G37</f>
        <v>0</v>
      </c>
      <c r="L37" s="208">
        <v>85.8</v>
      </c>
      <c r="M37" s="74"/>
      <c r="N37" s="74"/>
      <c r="O37" s="147">
        <f>G37-L37</f>
        <v>0</v>
      </c>
      <c r="P37" s="400"/>
      <c r="Q37" s="452"/>
    </row>
    <row r="38" spans="1:17" ht="62.25" customHeight="1" x14ac:dyDescent="0.4">
      <c r="A38" s="321"/>
      <c r="B38" s="346" t="s">
        <v>186</v>
      </c>
      <c r="C38" s="65"/>
      <c r="D38" s="65"/>
      <c r="E38" s="65"/>
      <c r="F38" s="65">
        <v>165144.4</v>
      </c>
      <c r="G38" s="65">
        <v>165144.4</v>
      </c>
      <c r="H38" s="125">
        <v>131736.15</v>
      </c>
      <c r="I38" s="148">
        <f t="shared" si="22"/>
        <v>0.8</v>
      </c>
      <c r="J38" s="125">
        <v>128539.45</v>
      </c>
      <c r="K38" s="130">
        <f t="shared" si="23"/>
        <v>0.78</v>
      </c>
      <c r="L38" s="208">
        <v>165144.4</v>
      </c>
      <c r="M38" s="74"/>
      <c r="N38" s="74"/>
      <c r="O38" s="147">
        <f t="shared" ref="O38:O39" si="24">G38-L38</f>
        <v>0</v>
      </c>
      <c r="P38" s="400"/>
      <c r="Q38" s="452"/>
    </row>
    <row r="39" spans="1:17" ht="82.5" customHeight="1" x14ac:dyDescent="0.4">
      <c r="A39" s="321"/>
      <c r="B39" s="346" t="s">
        <v>11</v>
      </c>
      <c r="C39" s="65"/>
      <c r="D39" s="65"/>
      <c r="E39" s="65"/>
      <c r="F39" s="65">
        <v>9077.18</v>
      </c>
      <c r="G39" s="65">
        <v>9077.18</v>
      </c>
      <c r="H39" s="125">
        <v>6714.94</v>
      </c>
      <c r="I39" s="148">
        <f t="shared" si="22"/>
        <v>0.74</v>
      </c>
      <c r="J39" s="125">
        <v>6714.94</v>
      </c>
      <c r="K39" s="130">
        <f t="shared" si="23"/>
        <v>0.74</v>
      </c>
      <c r="L39" s="241">
        <v>9077.18</v>
      </c>
      <c r="M39" s="74"/>
      <c r="N39" s="74"/>
      <c r="O39" s="147">
        <f t="shared" si="24"/>
        <v>0</v>
      </c>
      <c r="P39" s="400"/>
      <c r="Q39" s="452"/>
    </row>
    <row r="40" spans="1:17" ht="69.75" customHeight="1" x14ac:dyDescent="0.4">
      <c r="A40" s="321"/>
      <c r="B40" s="346" t="s">
        <v>13</v>
      </c>
      <c r="C40" s="65" t="e">
        <f>#REF!</f>
        <v>#REF!</v>
      </c>
      <c r="D40" s="65" t="e">
        <f>#REF!</f>
        <v>#REF!</v>
      </c>
      <c r="E40" s="65" t="e">
        <f>#REF!</f>
        <v>#REF!</v>
      </c>
      <c r="F40" s="65"/>
      <c r="G40" s="65"/>
      <c r="H40" s="65"/>
      <c r="I40" s="104"/>
      <c r="J40" s="125"/>
      <c r="K40" s="327"/>
      <c r="L40" s="125"/>
      <c r="M40" s="74"/>
      <c r="N40" s="74"/>
      <c r="O40" s="65"/>
      <c r="P40" s="400"/>
      <c r="Q40" s="452"/>
    </row>
    <row r="41" spans="1:17" ht="122.25" customHeight="1" x14ac:dyDescent="0.4">
      <c r="A41" s="321"/>
      <c r="B41" s="346" t="s">
        <v>5</v>
      </c>
      <c r="C41" s="65" t="e">
        <f>#REF!</f>
        <v>#REF!</v>
      </c>
      <c r="D41" s="65" t="e">
        <f>#REF!</f>
        <v>#REF!</v>
      </c>
      <c r="E41" s="65" t="e">
        <f>#REF!</f>
        <v>#REF!</v>
      </c>
      <c r="F41" s="65"/>
      <c r="G41" s="65"/>
      <c r="H41" s="65"/>
      <c r="I41" s="74"/>
      <c r="J41" s="125"/>
      <c r="K41" s="130"/>
      <c r="L41" s="125"/>
      <c r="M41" s="74"/>
      <c r="N41" s="74"/>
      <c r="O41" s="65"/>
      <c r="P41" s="400"/>
      <c r="Q41" s="452"/>
    </row>
    <row r="42" spans="1:17" s="301" customFormat="1" ht="253.5" customHeight="1" x14ac:dyDescent="0.25">
      <c r="A42" s="364" t="s">
        <v>10</v>
      </c>
      <c r="B42" s="349" t="s">
        <v>193</v>
      </c>
      <c r="C42" s="61" t="e">
        <f>C43+C46+C47+#REF!+#REF!</f>
        <v>#REF!</v>
      </c>
      <c r="D42" s="61" t="e">
        <f>D43+D46+D47+#REF!+#REF!</f>
        <v>#REF!</v>
      </c>
      <c r="E42" s="61" t="e">
        <f>E43+E46+E47+#REF!+#REF!</f>
        <v>#REF!</v>
      </c>
      <c r="F42" s="61">
        <f>F43+F44+F45+F46</f>
        <v>273262.64</v>
      </c>
      <c r="G42" s="61">
        <f>G43+G44+G45+G46</f>
        <v>273915.15000000002</v>
      </c>
      <c r="H42" s="61">
        <f>H43+H44+H45+H46+H47</f>
        <v>652.5</v>
      </c>
      <c r="I42" s="108"/>
      <c r="J42" s="121"/>
      <c r="K42" s="122"/>
      <c r="L42" s="121">
        <f>L43+L44+L45+L46</f>
        <v>273915.15000000002</v>
      </c>
      <c r="M42" s="70"/>
      <c r="N42" s="70"/>
      <c r="O42" s="356">
        <f>G42-L42</f>
        <v>0</v>
      </c>
      <c r="P42" s="417" t="s">
        <v>220</v>
      </c>
      <c r="Q42" s="452"/>
    </row>
    <row r="43" spans="1:17" s="299" customFormat="1" ht="38.25" customHeight="1" x14ac:dyDescent="0.25">
      <c r="A43" s="328"/>
      <c r="B43" s="346" t="s">
        <v>4</v>
      </c>
      <c r="C43" s="65" t="e">
        <f>#REF!+#REF!</f>
        <v>#REF!</v>
      </c>
      <c r="D43" s="65" t="e">
        <f>#REF!+#REF!</f>
        <v>#REF!</v>
      </c>
      <c r="E43" s="65" t="e">
        <f>#REF!+#REF!</f>
        <v>#REF!</v>
      </c>
      <c r="F43" s="65"/>
      <c r="G43" s="65"/>
      <c r="H43" s="125"/>
      <c r="I43" s="130"/>
      <c r="J43" s="125"/>
      <c r="K43" s="130"/>
      <c r="L43" s="65"/>
      <c r="M43" s="74"/>
      <c r="N43" s="74"/>
      <c r="O43" s="356">
        <f t="shared" ref="O43:O46" si="25">G43-L43</f>
        <v>0</v>
      </c>
      <c r="P43" s="417"/>
      <c r="Q43" s="452"/>
    </row>
    <row r="44" spans="1:17" s="299" customFormat="1" ht="48.75" customHeight="1" x14ac:dyDescent="0.25">
      <c r="A44" s="328"/>
      <c r="B44" s="346" t="s">
        <v>186</v>
      </c>
      <c r="C44" s="65"/>
      <c r="D44" s="65"/>
      <c r="E44" s="65"/>
      <c r="F44" s="65">
        <v>249407.3</v>
      </c>
      <c r="G44" s="65">
        <v>250059.8</v>
      </c>
      <c r="H44" s="125">
        <v>652.5</v>
      </c>
      <c r="I44" s="130"/>
      <c r="J44" s="366"/>
      <c r="K44" s="130"/>
      <c r="L44" s="208">
        <v>250059.8</v>
      </c>
      <c r="M44" s="74"/>
      <c r="N44" s="74"/>
      <c r="O44" s="356">
        <f t="shared" si="25"/>
        <v>0</v>
      </c>
      <c r="P44" s="417"/>
      <c r="Q44" s="452"/>
    </row>
    <row r="45" spans="1:17" s="299" customFormat="1" ht="48.75" customHeight="1" x14ac:dyDescent="0.25">
      <c r="A45" s="328"/>
      <c r="B45" s="346" t="s">
        <v>11</v>
      </c>
      <c r="C45" s="65"/>
      <c r="D45" s="65"/>
      <c r="E45" s="65"/>
      <c r="F45" s="125">
        <v>13126.7</v>
      </c>
      <c r="G45" s="65">
        <v>13126.7</v>
      </c>
      <c r="H45" s="125"/>
      <c r="I45" s="130"/>
      <c r="J45" s="58"/>
      <c r="K45" s="125">
        <v>0</v>
      </c>
      <c r="L45" s="208">
        <v>13126.7</v>
      </c>
      <c r="M45" s="74"/>
      <c r="N45" s="74"/>
      <c r="O45" s="356">
        <f t="shared" si="25"/>
        <v>0</v>
      </c>
      <c r="P45" s="417"/>
      <c r="Q45" s="452"/>
    </row>
    <row r="46" spans="1:17" s="299" customFormat="1" ht="48.75" customHeight="1" x14ac:dyDescent="0.25">
      <c r="A46" s="328"/>
      <c r="B46" s="346" t="s">
        <v>13</v>
      </c>
      <c r="C46" s="65"/>
      <c r="D46" s="65"/>
      <c r="E46" s="65"/>
      <c r="F46" s="65">
        <v>10728.64</v>
      </c>
      <c r="G46" s="65">
        <v>10728.65</v>
      </c>
      <c r="H46" s="125"/>
      <c r="I46" s="130"/>
      <c r="J46" s="366"/>
      <c r="K46" s="130"/>
      <c r="L46" s="208">
        <v>10728.65</v>
      </c>
      <c r="M46" s="74"/>
      <c r="N46" s="74"/>
      <c r="O46" s="356">
        <f t="shared" si="25"/>
        <v>0</v>
      </c>
      <c r="P46" s="417"/>
      <c r="Q46" s="452"/>
    </row>
    <row r="47" spans="1:17" s="299" customFormat="1" ht="48.75" customHeight="1" x14ac:dyDescent="0.25">
      <c r="A47" s="328"/>
      <c r="B47" s="346" t="s">
        <v>5</v>
      </c>
      <c r="C47" s="65"/>
      <c r="D47" s="65"/>
      <c r="E47" s="65"/>
      <c r="F47" s="65"/>
      <c r="G47" s="65"/>
      <c r="H47" s="125"/>
      <c r="I47" s="130"/>
      <c r="J47" s="125"/>
      <c r="K47" s="130"/>
      <c r="L47" s="65"/>
      <c r="M47" s="74"/>
      <c r="N47" s="74"/>
      <c r="O47" s="74"/>
      <c r="P47" s="417"/>
      <c r="Q47" s="452"/>
    </row>
    <row r="48" spans="1:17" s="299" customFormat="1" ht="339" customHeight="1" x14ac:dyDescent="0.25">
      <c r="A48" s="364" t="s">
        <v>58</v>
      </c>
      <c r="B48" s="349" t="s">
        <v>194</v>
      </c>
      <c r="C48" s="61" t="e">
        <f>SUM(C53:C53)</f>
        <v>#REF!</v>
      </c>
      <c r="D48" s="61" t="e">
        <f>SUM(D53:D53)</f>
        <v>#REF!</v>
      </c>
      <c r="E48" s="61" t="e">
        <f>SUM(E53:E53)</f>
        <v>#REF!</v>
      </c>
      <c r="F48" s="61">
        <f>F49+F50+F51+F52</f>
        <v>8804.68</v>
      </c>
      <c r="G48" s="61">
        <f t="shared" ref="G48:H48" si="26">G49+G50+G51+G52</f>
        <v>8804.68</v>
      </c>
      <c r="H48" s="61">
        <f t="shared" si="26"/>
        <v>5433.34</v>
      </c>
      <c r="I48" s="174">
        <f t="shared" ref="I48:I50" si="27">H48/G48</f>
        <v>0.62</v>
      </c>
      <c r="J48" s="61">
        <f>J49+J50+J51+J52</f>
        <v>4888.2</v>
      </c>
      <c r="K48" s="174">
        <f t="shared" ref="K48:K50" si="28">J48/G48</f>
        <v>0.56000000000000005</v>
      </c>
      <c r="L48" s="61">
        <f>L49+L50+L51+L52</f>
        <v>8804.68</v>
      </c>
      <c r="M48" s="61"/>
      <c r="N48" s="61"/>
      <c r="O48" s="61">
        <f>G48-L48</f>
        <v>0</v>
      </c>
      <c r="P48" s="395" t="s">
        <v>218</v>
      </c>
      <c r="Q48" s="452"/>
    </row>
    <row r="49" spans="1:17" s="299" customFormat="1" ht="39" customHeight="1" x14ac:dyDescent="0.25">
      <c r="A49" s="321"/>
      <c r="B49" s="346" t="s">
        <v>4</v>
      </c>
      <c r="C49" s="61"/>
      <c r="D49" s="61"/>
      <c r="E49" s="61"/>
      <c r="F49" s="61"/>
      <c r="G49" s="61"/>
      <c r="H49" s="61"/>
      <c r="I49" s="70"/>
      <c r="J49" s="61"/>
      <c r="K49" s="70"/>
      <c r="L49" s="61"/>
      <c r="M49" s="61"/>
      <c r="N49" s="61"/>
      <c r="O49" s="61">
        <f t="shared" ref="O49" si="29">G49-L49</f>
        <v>0</v>
      </c>
      <c r="P49" s="395"/>
      <c r="Q49" s="452"/>
    </row>
    <row r="50" spans="1:17" s="299" customFormat="1" ht="75" customHeight="1" x14ac:dyDescent="0.25">
      <c r="A50" s="321"/>
      <c r="B50" s="346" t="s">
        <v>16</v>
      </c>
      <c r="C50" s="61"/>
      <c r="D50" s="61"/>
      <c r="E50" s="61"/>
      <c r="F50" s="147">
        <v>8804.68</v>
      </c>
      <c r="G50" s="147">
        <v>8804.68</v>
      </c>
      <c r="H50" s="147">
        <v>5433.34</v>
      </c>
      <c r="I50" s="148">
        <f t="shared" si="27"/>
        <v>0.62</v>
      </c>
      <c r="J50" s="147">
        <v>4888.2</v>
      </c>
      <c r="K50" s="148">
        <f t="shared" si="28"/>
        <v>0.56000000000000005</v>
      </c>
      <c r="L50" s="61">
        <f>50.91+511.1+8024.6+218.07</f>
        <v>8804.68</v>
      </c>
      <c r="M50" s="61"/>
      <c r="N50" s="61"/>
      <c r="O50" s="61">
        <f>G50-L50</f>
        <v>0</v>
      </c>
      <c r="P50" s="395"/>
      <c r="Q50" s="452"/>
    </row>
    <row r="51" spans="1:17" s="299" customFormat="1" ht="39" customHeight="1" x14ac:dyDescent="0.25">
      <c r="A51" s="321"/>
      <c r="B51" s="346" t="s">
        <v>11</v>
      </c>
      <c r="C51" s="61"/>
      <c r="D51" s="61"/>
      <c r="E51" s="61"/>
      <c r="F51" s="61"/>
      <c r="G51" s="61"/>
      <c r="H51" s="61"/>
      <c r="I51" s="70"/>
      <c r="J51" s="61"/>
      <c r="K51" s="70"/>
      <c r="L51" s="60"/>
      <c r="M51" s="61"/>
      <c r="N51" s="61"/>
      <c r="O51" s="61"/>
      <c r="P51" s="395"/>
      <c r="Q51" s="452"/>
    </row>
    <row r="52" spans="1:17" s="299" customFormat="1" ht="86.25" customHeight="1" x14ac:dyDescent="0.25">
      <c r="A52" s="321"/>
      <c r="B52" s="346" t="s">
        <v>13</v>
      </c>
      <c r="C52" s="61"/>
      <c r="D52" s="61"/>
      <c r="E52" s="61"/>
      <c r="F52" s="61"/>
      <c r="G52" s="61"/>
      <c r="H52" s="61"/>
      <c r="I52" s="70"/>
      <c r="J52" s="61"/>
      <c r="K52" s="70"/>
      <c r="L52" s="61"/>
      <c r="M52" s="61"/>
      <c r="N52" s="61"/>
      <c r="O52" s="61"/>
      <c r="P52" s="395"/>
      <c r="Q52" s="452"/>
    </row>
    <row r="53" spans="1:17" s="299" customFormat="1" ht="51.75" customHeight="1" x14ac:dyDescent="0.25">
      <c r="A53" s="321"/>
      <c r="B53" s="346" t="s">
        <v>5</v>
      </c>
      <c r="C53" s="65" t="e">
        <f>#REF!+#REF!</f>
        <v>#REF!</v>
      </c>
      <c r="D53" s="65" t="e">
        <f>#REF!+#REF!</f>
        <v>#REF!</v>
      </c>
      <c r="E53" s="65" t="e">
        <f>#REF!+#REF!</f>
        <v>#REF!</v>
      </c>
      <c r="F53" s="65"/>
      <c r="G53" s="65"/>
      <c r="H53" s="65"/>
      <c r="I53" s="74"/>
      <c r="J53" s="65"/>
      <c r="K53" s="74"/>
      <c r="L53" s="65"/>
      <c r="M53" s="65"/>
      <c r="N53" s="65"/>
      <c r="O53" s="61">
        <f>G53-L53</f>
        <v>0</v>
      </c>
      <c r="P53" s="395"/>
      <c r="Q53" s="452"/>
    </row>
    <row r="54" spans="1:17" s="302" customFormat="1" ht="409.5" customHeight="1" x14ac:dyDescent="0.25">
      <c r="A54" s="364" t="s">
        <v>20</v>
      </c>
      <c r="B54" s="349" t="s">
        <v>188</v>
      </c>
      <c r="C54" s="61">
        <f>SUM(C55:C59)</f>
        <v>0</v>
      </c>
      <c r="D54" s="61">
        <f>SUM(D55:D59)</f>
        <v>0</v>
      </c>
      <c r="E54" s="61">
        <f>SUM(E55:E59)</f>
        <v>0</v>
      </c>
      <c r="F54" s="121">
        <f>F55+F56+F57+F58+F59</f>
        <v>14754.16</v>
      </c>
      <c r="G54" s="121">
        <f>G55+G56+G57+G58+G59</f>
        <v>14754.16</v>
      </c>
      <c r="H54" s="344">
        <f t="shared" ref="H54" si="30">H55+H56+H57+H58+H59</f>
        <v>6181.25</v>
      </c>
      <c r="I54" s="122">
        <f>H54/G54</f>
        <v>0.42</v>
      </c>
      <c r="J54" s="121">
        <f>J55+J56+J57+J58+J59</f>
        <v>5959.23</v>
      </c>
      <c r="K54" s="122">
        <f>J54/G54</f>
        <v>0.4</v>
      </c>
      <c r="L54" s="121">
        <f>L55+L56+L57+L58+L59</f>
        <v>14025.62</v>
      </c>
      <c r="M54" s="121">
        <f t="shared" ref="M54" si="31">M55+M56+M57+M58+M59</f>
        <v>0</v>
      </c>
      <c r="N54" s="121">
        <f t="shared" ref="N54" si="32">N55+N56+N57+N58+N59</f>
        <v>0</v>
      </c>
      <c r="O54" s="61">
        <f>O55+O56+O57+O58+O59</f>
        <v>728.54</v>
      </c>
      <c r="P54" s="414" t="s">
        <v>206</v>
      </c>
      <c r="Q54" s="452"/>
    </row>
    <row r="55" spans="1:17" s="299" customFormat="1" ht="32.25" customHeight="1" x14ac:dyDescent="0.25">
      <c r="A55" s="364"/>
      <c r="B55" s="346" t="s">
        <v>4</v>
      </c>
      <c r="C55" s="65"/>
      <c r="D55" s="65"/>
      <c r="E55" s="65"/>
      <c r="F55" s="65">
        <v>722.8</v>
      </c>
      <c r="G55" s="65">
        <v>722.8</v>
      </c>
      <c r="H55" s="65">
        <v>473.1</v>
      </c>
      <c r="I55" s="148">
        <f t="shared" ref="I55:I57" si="33">H55/G55</f>
        <v>0.65</v>
      </c>
      <c r="J55" s="65">
        <v>280.38</v>
      </c>
      <c r="K55" s="74">
        <f>J55/G55</f>
        <v>0.39</v>
      </c>
      <c r="L55" s="65">
        <v>473.1</v>
      </c>
      <c r="M55" s="65"/>
      <c r="N55" s="65"/>
      <c r="O55" s="147">
        <f>G55-L55</f>
        <v>249.7</v>
      </c>
      <c r="P55" s="414"/>
      <c r="Q55" s="452"/>
    </row>
    <row r="56" spans="1:17" s="299" customFormat="1" ht="32.25" customHeight="1" x14ac:dyDescent="0.25">
      <c r="A56" s="364"/>
      <c r="B56" s="346" t="s">
        <v>186</v>
      </c>
      <c r="C56" s="65"/>
      <c r="D56" s="65"/>
      <c r="E56" s="65"/>
      <c r="F56" s="65">
        <v>3492</v>
      </c>
      <c r="G56" s="65">
        <v>3492</v>
      </c>
      <c r="H56" s="65">
        <v>1092</v>
      </c>
      <c r="I56" s="148">
        <f t="shared" si="33"/>
        <v>0.31</v>
      </c>
      <c r="J56" s="65">
        <v>1062.7</v>
      </c>
      <c r="K56" s="148">
        <f t="shared" ref="K56:K57" si="34">J56/G56</f>
        <v>0.3</v>
      </c>
      <c r="L56" s="65">
        <f>1092+1921.4</f>
        <v>3013.4</v>
      </c>
      <c r="M56" s="65"/>
      <c r="N56" s="65"/>
      <c r="O56" s="367">
        <f>G56-L56</f>
        <v>478.6</v>
      </c>
      <c r="P56" s="414"/>
      <c r="Q56" s="452"/>
    </row>
    <row r="57" spans="1:17" s="299" customFormat="1" ht="32.25" customHeight="1" x14ac:dyDescent="0.25">
      <c r="A57" s="364"/>
      <c r="B57" s="346" t="s">
        <v>11</v>
      </c>
      <c r="C57" s="65"/>
      <c r="D57" s="65"/>
      <c r="E57" s="65"/>
      <c r="F57" s="65">
        <v>10539.36</v>
      </c>
      <c r="G57" s="65">
        <v>10539.36</v>
      </c>
      <c r="H57" s="65">
        <f>J57</f>
        <v>4616.1499999999996</v>
      </c>
      <c r="I57" s="148">
        <f t="shared" si="33"/>
        <v>0.44</v>
      </c>
      <c r="J57" s="65">
        <v>4616.1499999999996</v>
      </c>
      <c r="K57" s="148">
        <f t="shared" si="34"/>
        <v>0.44</v>
      </c>
      <c r="L57" s="65">
        <v>10539.12</v>
      </c>
      <c r="M57" s="65"/>
      <c r="N57" s="65"/>
      <c r="O57" s="367">
        <f t="shared" ref="O57" si="35">G57-L57</f>
        <v>0.24</v>
      </c>
      <c r="P57" s="414"/>
      <c r="Q57" s="452"/>
    </row>
    <row r="58" spans="1:17" s="299" customFormat="1" ht="32.25" customHeight="1" x14ac:dyDescent="0.25">
      <c r="A58" s="364"/>
      <c r="B58" s="346" t="s">
        <v>13</v>
      </c>
      <c r="C58" s="65"/>
      <c r="D58" s="65"/>
      <c r="E58" s="65"/>
      <c r="F58" s="65"/>
      <c r="G58" s="65"/>
      <c r="H58" s="65"/>
      <c r="I58" s="74"/>
      <c r="J58" s="65"/>
      <c r="K58" s="74"/>
      <c r="L58" s="65"/>
      <c r="M58" s="65"/>
      <c r="N58" s="65"/>
      <c r="O58" s="65"/>
      <c r="P58" s="414"/>
      <c r="Q58" s="452"/>
    </row>
    <row r="59" spans="1:17" s="299" customFormat="1" ht="32.25" customHeight="1" x14ac:dyDescent="0.25">
      <c r="A59" s="364"/>
      <c r="B59" s="346" t="s">
        <v>5</v>
      </c>
      <c r="C59" s="65"/>
      <c r="D59" s="65"/>
      <c r="E59" s="65"/>
      <c r="F59" s="65"/>
      <c r="G59" s="65"/>
      <c r="H59" s="65"/>
      <c r="I59" s="74"/>
      <c r="J59" s="65"/>
      <c r="K59" s="74"/>
      <c r="L59" s="65"/>
      <c r="M59" s="65"/>
      <c r="N59" s="65"/>
      <c r="O59" s="65"/>
      <c r="P59" s="414"/>
      <c r="Q59" s="452"/>
    </row>
    <row r="60" spans="1:17" s="299" customFormat="1" ht="138.75" customHeight="1" outlineLevel="1" x14ac:dyDescent="0.25">
      <c r="A60" s="364" t="s">
        <v>21</v>
      </c>
      <c r="B60" s="349" t="s">
        <v>101</v>
      </c>
      <c r="C60" s="61" t="e">
        <f>#REF!+#REF!+#REF!+#REF!+#REF!</f>
        <v>#REF!</v>
      </c>
      <c r="D60" s="61" t="e">
        <f>#REF!+#REF!+#REF!+#REF!+#REF!</f>
        <v>#REF!</v>
      </c>
      <c r="E60" s="61" t="e">
        <f>#REF!+#REF!+#REF!+#REF!+#REF!</f>
        <v>#REF!</v>
      </c>
      <c r="F60" s="107"/>
      <c r="G60" s="107"/>
      <c r="H60" s="115"/>
      <c r="I60" s="108"/>
      <c r="J60" s="107"/>
      <c r="K60" s="108"/>
      <c r="L60" s="108"/>
      <c r="M60" s="70"/>
      <c r="N60" s="70"/>
      <c r="O60" s="70"/>
      <c r="P60" s="326" t="s">
        <v>124</v>
      </c>
      <c r="Q60" s="452"/>
    </row>
    <row r="61" spans="1:17" s="303" customFormat="1" ht="106.5" customHeight="1" x14ac:dyDescent="0.25">
      <c r="A61" s="364" t="s">
        <v>22</v>
      </c>
      <c r="B61" s="349" t="s">
        <v>102</v>
      </c>
      <c r="C61" s="61" t="e">
        <f>#REF!+#REF!+#REF!+#REF!+#REF!</f>
        <v>#REF!</v>
      </c>
      <c r="D61" s="61" t="e">
        <f>#REF!+#REF!+#REF!+#REF!+#REF!</f>
        <v>#REF!</v>
      </c>
      <c r="E61" s="61" t="e">
        <f>#REF!+#REF!+#REF!+#REF!+#REF!</f>
        <v>#REF!</v>
      </c>
      <c r="F61" s="107"/>
      <c r="G61" s="107"/>
      <c r="H61" s="115"/>
      <c r="I61" s="108"/>
      <c r="J61" s="107"/>
      <c r="K61" s="108"/>
      <c r="L61" s="108"/>
      <c r="M61" s="70"/>
      <c r="N61" s="70"/>
      <c r="O61" s="70"/>
      <c r="P61" s="326" t="s">
        <v>124</v>
      </c>
      <c r="Q61" s="452"/>
    </row>
    <row r="62" spans="1:17" s="305" customFormat="1" ht="99" customHeight="1" x14ac:dyDescent="0.25">
      <c r="A62" s="364" t="s">
        <v>23</v>
      </c>
      <c r="B62" s="349" t="s">
        <v>223</v>
      </c>
      <c r="C62" s="304"/>
      <c r="D62" s="304"/>
      <c r="E62" s="304"/>
      <c r="F62" s="359">
        <f>SUM(F63:F67)</f>
        <v>1657537.01</v>
      </c>
      <c r="G62" s="359">
        <f t="shared" ref="G62:J62" si="36">SUM(G63:G67)</f>
        <v>1659056.35</v>
      </c>
      <c r="H62" s="390">
        <f t="shared" si="36"/>
        <v>1106543.21</v>
      </c>
      <c r="I62" s="360">
        <f t="shared" ref="I62:I92" si="37">H62/G62</f>
        <v>0.67</v>
      </c>
      <c r="J62" s="359">
        <f t="shared" si="36"/>
        <v>1081052.71</v>
      </c>
      <c r="K62" s="368">
        <f t="shared" ref="K62:K68" si="38">J62/G62</f>
        <v>0.65200000000000002</v>
      </c>
      <c r="L62" s="359">
        <f>SUM(L63:L67)</f>
        <v>1628673.85</v>
      </c>
      <c r="M62" s="61">
        <f t="shared" ref="M62:N62" si="39">SUM(M63:M67)</f>
        <v>1659056.35</v>
      </c>
      <c r="N62" s="107">
        <f t="shared" si="39"/>
        <v>0</v>
      </c>
      <c r="O62" s="359">
        <f>SUM(O63:O67)</f>
        <v>30382.5</v>
      </c>
      <c r="P62" s="329"/>
      <c r="Q62" s="452"/>
    </row>
    <row r="63" spans="1:17" s="307" customFormat="1" ht="30.75" customHeight="1" x14ac:dyDescent="0.25">
      <c r="A63" s="321"/>
      <c r="B63" s="362" t="s">
        <v>4</v>
      </c>
      <c r="C63" s="306"/>
      <c r="D63" s="306"/>
      <c r="E63" s="306"/>
      <c r="F63" s="65">
        <f t="shared" ref="F63:H67" si="40">F69+F105</f>
        <v>17057.03</v>
      </c>
      <c r="G63" s="65">
        <f t="shared" si="40"/>
        <v>18576.37</v>
      </c>
      <c r="H63" s="65">
        <f t="shared" si="40"/>
        <v>16104.24</v>
      </c>
      <c r="I63" s="104">
        <f t="shared" si="37"/>
        <v>0.86699999999999999</v>
      </c>
      <c r="J63" s="65">
        <f>J69+J105</f>
        <v>8824.76</v>
      </c>
      <c r="K63" s="104">
        <f t="shared" si="38"/>
        <v>0.47499999999999998</v>
      </c>
      <c r="L63" s="65">
        <f>L69+L105</f>
        <v>16104.24</v>
      </c>
      <c r="M63" s="65">
        <f t="shared" ref="M63:N66" si="41">M69+M105</f>
        <v>18576.37</v>
      </c>
      <c r="N63" s="89">
        <f t="shared" si="41"/>
        <v>0</v>
      </c>
      <c r="O63" s="65">
        <f>O69+O105</f>
        <v>2472.13</v>
      </c>
      <c r="P63" s="330"/>
      <c r="Q63" s="452"/>
    </row>
    <row r="64" spans="1:17" s="307" customFormat="1" ht="30.75" customHeight="1" x14ac:dyDescent="0.25">
      <c r="A64" s="321"/>
      <c r="B64" s="362" t="s">
        <v>130</v>
      </c>
      <c r="C64" s="306"/>
      <c r="D64" s="306"/>
      <c r="E64" s="306"/>
      <c r="F64" s="65">
        <f t="shared" si="40"/>
        <v>1437380.31</v>
      </c>
      <c r="G64" s="65">
        <f t="shared" si="40"/>
        <v>1437380.31</v>
      </c>
      <c r="H64" s="65">
        <f>H70+H106</f>
        <v>973700.77</v>
      </c>
      <c r="I64" s="104">
        <f t="shared" si="37"/>
        <v>0.67700000000000005</v>
      </c>
      <c r="J64" s="65">
        <f>J70+J106</f>
        <v>955489.75</v>
      </c>
      <c r="K64" s="104">
        <f t="shared" si="38"/>
        <v>0.66500000000000004</v>
      </c>
      <c r="L64" s="65">
        <f>L70+L106</f>
        <v>1416382.37</v>
      </c>
      <c r="M64" s="65">
        <f t="shared" si="41"/>
        <v>1437380.31</v>
      </c>
      <c r="N64" s="89">
        <f t="shared" si="41"/>
        <v>0</v>
      </c>
      <c r="O64" s="65">
        <f>O70+O106</f>
        <v>20997.94</v>
      </c>
      <c r="P64" s="330"/>
      <c r="Q64" s="452"/>
    </row>
    <row r="65" spans="1:17" s="307" customFormat="1" ht="30.75" customHeight="1" x14ac:dyDescent="0.25">
      <c r="A65" s="321"/>
      <c r="B65" s="362" t="s">
        <v>11</v>
      </c>
      <c r="C65" s="306"/>
      <c r="D65" s="306"/>
      <c r="E65" s="306"/>
      <c r="F65" s="65">
        <f t="shared" si="40"/>
        <v>201343.76</v>
      </c>
      <c r="G65" s="65">
        <f t="shared" si="40"/>
        <v>201343.76</v>
      </c>
      <c r="H65" s="65">
        <f t="shared" si="40"/>
        <v>116738.2</v>
      </c>
      <c r="I65" s="104">
        <f t="shared" si="37"/>
        <v>0.57999999999999996</v>
      </c>
      <c r="J65" s="125">
        <f>J71+J107</f>
        <v>116738.2</v>
      </c>
      <c r="K65" s="104">
        <f t="shared" si="38"/>
        <v>0.57999999999999996</v>
      </c>
      <c r="L65" s="65">
        <f>L71+L107</f>
        <v>196187.24</v>
      </c>
      <c r="M65" s="65">
        <f t="shared" si="41"/>
        <v>201343.76</v>
      </c>
      <c r="N65" s="89">
        <f t="shared" si="41"/>
        <v>0</v>
      </c>
      <c r="O65" s="65">
        <f>O71+O107</f>
        <v>5156.5200000000004</v>
      </c>
      <c r="P65" s="331"/>
      <c r="Q65" s="452"/>
    </row>
    <row r="66" spans="1:17" s="307" customFormat="1" ht="30.75" customHeight="1" x14ac:dyDescent="0.25">
      <c r="A66" s="320"/>
      <c r="B66" s="363" t="s">
        <v>13</v>
      </c>
      <c r="C66" s="308"/>
      <c r="D66" s="308"/>
      <c r="E66" s="308"/>
      <c r="F66" s="125">
        <f t="shared" si="40"/>
        <v>1755.91</v>
      </c>
      <c r="G66" s="125">
        <f t="shared" si="40"/>
        <v>1755.91</v>
      </c>
      <c r="H66" s="125">
        <f t="shared" si="40"/>
        <v>0</v>
      </c>
      <c r="I66" s="327">
        <f t="shared" si="37"/>
        <v>0</v>
      </c>
      <c r="J66" s="125">
        <f>J72+J108</f>
        <v>0</v>
      </c>
      <c r="K66" s="327">
        <f t="shared" si="38"/>
        <v>0</v>
      </c>
      <c r="L66" s="125">
        <f>L72+L108</f>
        <v>0</v>
      </c>
      <c r="M66" s="125">
        <f t="shared" si="41"/>
        <v>1755.91</v>
      </c>
      <c r="N66" s="125">
        <f t="shared" si="41"/>
        <v>0</v>
      </c>
      <c r="O66" s="125">
        <f>O72+O108</f>
        <v>1755.91</v>
      </c>
      <c r="P66" s="332"/>
      <c r="Q66" s="452"/>
    </row>
    <row r="67" spans="1:17" s="307" customFormat="1" ht="30.75" customHeight="1" collapsed="1" x14ac:dyDescent="0.25">
      <c r="A67" s="320"/>
      <c r="B67" s="363" t="s">
        <v>5</v>
      </c>
      <c r="C67" s="308"/>
      <c r="D67" s="308"/>
      <c r="E67" s="308"/>
      <c r="F67" s="125">
        <f t="shared" si="40"/>
        <v>0</v>
      </c>
      <c r="G67" s="125">
        <f t="shared" si="40"/>
        <v>0</v>
      </c>
      <c r="H67" s="125">
        <f t="shared" si="40"/>
        <v>0</v>
      </c>
      <c r="I67" s="327"/>
      <c r="J67" s="125"/>
      <c r="K67" s="327"/>
      <c r="L67" s="125">
        <f>L73+L109</f>
        <v>0</v>
      </c>
      <c r="M67" s="125"/>
      <c r="N67" s="125"/>
      <c r="O67" s="327"/>
      <c r="P67" s="332"/>
      <c r="Q67" s="452"/>
    </row>
    <row r="68" spans="1:17" s="305" customFormat="1" ht="51" x14ac:dyDescent="0.25">
      <c r="A68" s="385" t="s">
        <v>145</v>
      </c>
      <c r="B68" s="381" t="s">
        <v>179</v>
      </c>
      <c r="C68" s="309"/>
      <c r="D68" s="309"/>
      <c r="E68" s="309"/>
      <c r="F68" s="369">
        <f>SUM(F69:F73)</f>
        <v>1632434.03</v>
      </c>
      <c r="G68" s="369">
        <f t="shared" ref="G68:H68" si="42">SUM(G69:G73)</f>
        <v>1632434.03</v>
      </c>
      <c r="H68" s="369">
        <f t="shared" si="42"/>
        <v>1082875.25</v>
      </c>
      <c r="I68" s="370">
        <f t="shared" si="37"/>
        <v>0.66</v>
      </c>
      <c r="J68" s="369">
        <f>SUM(J69:J73)</f>
        <v>1067661.6299999999</v>
      </c>
      <c r="K68" s="371">
        <f t="shared" si="38"/>
        <v>0.65400000000000003</v>
      </c>
      <c r="L68" s="369">
        <f>SUM(L69:L73)</f>
        <v>1604898.36</v>
      </c>
      <c r="M68" s="369">
        <f>SUM(M69:M73)</f>
        <v>1632434.03</v>
      </c>
      <c r="N68" s="369">
        <f>G68-M68</f>
        <v>0</v>
      </c>
      <c r="O68" s="61">
        <v>27535.66</v>
      </c>
      <c r="P68" s="419"/>
      <c r="Q68" s="452"/>
    </row>
    <row r="69" spans="1:17" s="307" customFormat="1" x14ac:dyDescent="0.25">
      <c r="A69" s="386"/>
      <c r="B69" s="363" t="s">
        <v>4</v>
      </c>
      <c r="C69" s="308"/>
      <c r="D69" s="308"/>
      <c r="E69" s="308"/>
      <c r="F69" s="125">
        <f t="shared" ref="F69:H73" si="43">F75+F81+F87+F99</f>
        <v>0</v>
      </c>
      <c r="G69" s="125">
        <f t="shared" si="43"/>
        <v>0</v>
      </c>
      <c r="H69" s="125">
        <f t="shared" si="43"/>
        <v>0</v>
      </c>
      <c r="I69" s="130"/>
      <c r="J69" s="125"/>
      <c r="K69" s="125"/>
      <c r="L69" s="125">
        <f>L75+L81+L87+L99</f>
        <v>0</v>
      </c>
      <c r="M69" s="125"/>
      <c r="N69" s="125"/>
      <c r="O69" s="65">
        <f>G69-L69</f>
        <v>0</v>
      </c>
      <c r="P69" s="419"/>
      <c r="Q69" s="452"/>
    </row>
    <row r="70" spans="1:17" s="307" customFormat="1" x14ac:dyDescent="0.25">
      <c r="A70" s="386"/>
      <c r="B70" s="363" t="s">
        <v>185</v>
      </c>
      <c r="C70" s="308"/>
      <c r="D70" s="308"/>
      <c r="E70" s="308"/>
      <c r="F70" s="125">
        <f>F76+F82+F88+F100</f>
        <v>1429787.86</v>
      </c>
      <c r="G70" s="125">
        <f t="shared" si="43"/>
        <v>1429787.86</v>
      </c>
      <c r="H70" s="125">
        <f>H76+H82+H88+H100</f>
        <v>966326.87</v>
      </c>
      <c r="I70" s="130">
        <f t="shared" si="37"/>
        <v>0.68</v>
      </c>
      <c r="J70" s="125">
        <f>J76+J82+J88+J100</f>
        <v>951113.25</v>
      </c>
      <c r="K70" s="130">
        <f>J70/G70</f>
        <v>0.67</v>
      </c>
      <c r="L70" s="125">
        <f>L76+L82+L88+L100</f>
        <v>1409164.62</v>
      </c>
      <c r="M70" s="125">
        <f>M76+M82+M88+M100</f>
        <v>1429787.86</v>
      </c>
      <c r="N70" s="125">
        <f t="shared" ref="N70:N72" si="44">N76+N82+N88</f>
        <v>0</v>
      </c>
      <c r="O70" s="65">
        <f>G70-L70</f>
        <v>20623.240000000002</v>
      </c>
      <c r="P70" s="419"/>
      <c r="Q70" s="452"/>
    </row>
    <row r="71" spans="1:17" s="307" customFormat="1" x14ac:dyDescent="0.25">
      <c r="A71" s="386"/>
      <c r="B71" s="363" t="s">
        <v>11</v>
      </c>
      <c r="C71" s="308"/>
      <c r="D71" s="308"/>
      <c r="E71" s="308"/>
      <c r="F71" s="125">
        <f t="shared" si="43"/>
        <v>200890.26</v>
      </c>
      <c r="G71" s="125">
        <f t="shared" si="43"/>
        <v>200890.26</v>
      </c>
      <c r="H71" s="125">
        <f t="shared" si="43"/>
        <v>116548.38</v>
      </c>
      <c r="I71" s="130">
        <f t="shared" si="37"/>
        <v>0.57999999999999996</v>
      </c>
      <c r="J71" s="125">
        <f>J77+J83+J89+J101</f>
        <v>116548.38</v>
      </c>
      <c r="K71" s="130">
        <f>J71/G71</f>
        <v>0.57999999999999996</v>
      </c>
      <c r="L71" s="125">
        <f>L77+L83+L89+L101</f>
        <v>195733.74</v>
      </c>
      <c r="M71" s="125">
        <f>M77+M83+M89+M101</f>
        <v>200890.26</v>
      </c>
      <c r="N71" s="125">
        <f t="shared" si="44"/>
        <v>0</v>
      </c>
      <c r="O71" s="65">
        <f>G71-L71</f>
        <v>5156.5200000000004</v>
      </c>
      <c r="P71" s="419"/>
      <c r="Q71" s="452"/>
    </row>
    <row r="72" spans="1:17" s="307" customFormat="1" x14ac:dyDescent="0.25">
      <c r="A72" s="386"/>
      <c r="B72" s="363" t="s">
        <v>13</v>
      </c>
      <c r="C72" s="308"/>
      <c r="D72" s="308"/>
      <c r="E72" s="308"/>
      <c r="F72" s="125">
        <f t="shared" si="43"/>
        <v>1755.91</v>
      </c>
      <c r="G72" s="125">
        <f t="shared" si="43"/>
        <v>1755.91</v>
      </c>
      <c r="H72" s="125">
        <f t="shared" si="43"/>
        <v>0</v>
      </c>
      <c r="I72" s="130">
        <f t="shared" si="37"/>
        <v>0</v>
      </c>
      <c r="J72" s="125">
        <f>J78+J84+J90+J102</f>
        <v>0</v>
      </c>
      <c r="K72" s="130">
        <f>J72/G72</f>
        <v>0</v>
      </c>
      <c r="L72" s="125">
        <f t="shared" ref="L72:L73" si="45">L78+L84+L90+L102</f>
        <v>0</v>
      </c>
      <c r="M72" s="125">
        <f>M78+M84+M90+M102</f>
        <v>1755.91</v>
      </c>
      <c r="N72" s="125">
        <f t="shared" si="44"/>
        <v>0</v>
      </c>
      <c r="O72" s="65">
        <v>1755.91</v>
      </c>
      <c r="P72" s="419"/>
      <c r="Q72" s="452"/>
    </row>
    <row r="73" spans="1:17" s="307" customFormat="1" collapsed="1" x14ac:dyDescent="0.25">
      <c r="A73" s="386"/>
      <c r="B73" s="363" t="s">
        <v>5</v>
      </c>
      <c r="C73" s="308"/>
      <c r="D73" s="308"/>
      <c r="E73" s="308"/>
      <c r="F73" s="125">
        <f t="shared" si="43"/>
        <v>0</v>
      </c>
      <c r="G73" s="125">
        <f t="shared" si="43"/>
        <v>0</v>
      </c>
      <c r="H73" s="125">
        <f t="shared" si="43"/>
        <v>0</v>
      </c>
      <c r="I73" s="130"/>
      <c r="J73" s="125"/>
      <c r="K73" s="125"/>
      <c r="L73" s="125">
        <f t="shared" si="45"/>
        <v>0</v>
      </c>
      <c r="M73" s="125"/>
      <c r="N73" s="125"/>
      <c r="O73" s="65"/>
      <c r="P73" s="419"/>
      <c r="Q73" s="452"/>
    </row>
    <row r="74" spans="1:17" s="155" customFormat="1" ht="30.75" customHeight="1" x14ac:dyDescent="0.25">
      <c r="A74" s="387" t="s">
        <v>146</v>
      </c>
      <c r="B74" s="382" t="s">
        <v>132</v>
      </c>
      <c r="C74" s="198"/>
      <c r="D74" s="198"/>
      <c r="E74" s="198"/>
      <c r="F74" s="372">
        <f>SUM(F75:F79)</f>
        <v>375116.43</v>
      </c>
      <c r="G74" s="372">
        <f t="shared" ref="G74:H74" si="46">SUM(G75:G79)</f>
        <v>375116.43</v>
      </c>
      <c r="H74" s="366">
        <f t="shared" si="46"/>
        <v>53954.720000000001</v>
      </c>
      <c r="I74" s="373">
        <f t="shared" si="37"/>
        <v>0.14000000000000001</v>
      </c>
      <c r="J74" s="372">
        <f>SUM(J75:J79)</f>
        <v>53954.720000000001</v>
      </c>
      <c r="K74" s="373">
        <f t="shared" ref="K74:K113" si="47">J74/G74</f>
        <v>0.14000000000000001</v>
      </c>
      <c r="L74" s="372">
        <f>SUM(L75:L79)</f>
        <v>375116.43</v>
      </c>
      <c r="M74" s="372">
        <f t="shared" ref="M74" si="48">SUM(M75:M79)</f>
        <v>375116.43</v>
      </c>
      <c r="N74" s="372">
        <f t="shared" ref="N74:N105" si="49">G74-M74</f>
        <v>0</v>
      </c>
      <c r="O74" s="60">
        <f t="shared" ref="O74" si="50">O75+O76+O77+O78+O79</f>
        <v>0</v>
      </c>
      <c r="P74" s="420" t="s">
        <v>212</v>
      </c>
      <c r="Q74" s="452"/>
    </row>
    <row r="75" spans="1:17" s="158" customFormat="1" ht="30.75" customHeight="1" x14ac:dyDescent="0.25">
      <c r="A75" s="387"/>
      <c r="B75" s="383" t="s">
        <v>4</v>
      </c>
      <c r="C75" s="194"/>
      <c r="D75" s="194"/>
      <c r="E75" s="194"/>
      <c r="F75" s="241"/>
      <c r="G75" s="365"/>
      <c r="H75" s="125"/>
      <c r="I75" s="374"/>
      <c r="J75" s="241"/>
      <c r="K75" s="374"/>
      <c r="L75" s="241"/>
      <c r="M75" s="365"/>
      <c r="N75" s="241"/>
      <c r="O75" s="208">
        <f>G75-L75</f>
        <v>0</v>
      </c>
      <c r="P75" s="421"/>
      <c r="Q75" s="452"/>
    </row>
    <row r="76" spans="1:17" s="158" customFormat="1" ht="30.75" customHeight="1" x14ac:dyDescent="0.25">
      <c r="A76" s="387"/>
      <c r="B76" s="383" t="s">
        <v>185</v>
      </c>
      <c r="C76" s="194"/>
      <c r="D76" s="194"/>
      <c r="E76" s="194"/>
      <c r="F76" s="241">
        <v>333853.62</v>
      </c>
      <c r="G76" s="241">
        <v>333853.62</v>
      </c>
      <c r="H76" s="125">
        <v>48019.7</v>
      </c>
      <c r="I76" s="374">
        <f t="shared" si="37"/>
        <v>0.14000000000000001</v>
      </c>
      <c r="J76" s="241">
        <v>48019.7</v>
      </c>
      <c r="K76" s="374">
        <f t="shared" si="47"/>
        <v>0.14000000000000001</v>
      </c>
      <c r="L76" s="241">
        <v>333853.62</v>
      </c>
      <c r="M76" s="241">
        <f>G76</f>
        <v>333853.62</v>
      </c>
      <c r="N76" s="241">
        <f t="shared" si="49"/>
        <v>0</v>
      </c>
      <c r="O76" s="65">
        <f t="shared" ref="O76:O77" si="51">G76-L76</f>
        <v>0</v>
      </c>
      <c r="P76" s="421"/>
      <c r="Q76" s="452"/>
    </row>
    <row r="77" spans="1:17" s="158" customFormat="1" ht="30.75" customHeight="1" x14ac:dyDescent="0.25">
      <c r="A77" s="387"/>
      <c r="B77" s="383" t="s">
        <v>133</v>
      </c>
      <c r="C77" s="194"/>
      <c r="D77" s="194"/>
      <c r="E77" s="194"/>
      <c r="F77" s="241">
        <v>41262.81</v>
      </c>
      <c r="G77" s="241">
        <v>41262.81</v>
      </c>
      <c r="H77" s="125">
        <v>5935.02</v>
      </c>
      <c r="I77" s="374">
        <f t="shared" si="37"/>
        <v>0.14000000000000001</v>
      </c>
      <c r="J77" s="241">
        <v>5935.02</v>
      </c>
      <c r="K77" s="374">
        <f t="shared" si="47"/>
        <v>0.14000000000000001</v>
      </c>
      <c r="L77" s="241">
        <v>41262.81</v>
      </c>
      <c r="M77" s="241">
        <f>G77</f>
        <v>41262.81</v>
      </c>
      <c r="N77" s="241">
        <f t="shared" si="49"/>
        <v>0</v>
      </c>
      <c r="O77" s="65">
        <f t="shared" si="51"/>
        <v>0</v>
      </c>
      <c r="P77" s="421"/>
      <c r="Q77" s="452"/>
    </row>
    <row r="78" spans="1:17" s="158" customFormat="1" ht="30.75" customHeight="1" x14ac:dyDescent="0.25">
      <c r="A78" s="387"/>
      <c r="B78" s="383" t="s">
        <v>13</v>
      </c>
      <c r="C78" s="194"/>
      <c r="D78" s="194"/>
      <c r="E78" s="194"/>
      <c r="F78" s="241"/>
      <c r="G78" s="241"/>
      <c r="H78" s="125"/>
      <c r="I78" s="374"/>
      <c r="J78" s="241"/>
      <c r="K78" s="374"/>
      <c r="L78" s="241"/>
      <c r="M78" s="365"/>
      <c r="N78" s="241"/>
      <c r="O78" s="208"/>
      <c r="P78" s="421"/>
      <c r="Q78" s="452"/>
    </row>
    <row r="79" spans="1:17" s="158" customFormat="1" ht="30.75" customHeight="1" collapsed="1" x14ac:dyDescent="0.25">
      <c r="A79" s="387"/>
      <c r="B79" s="383" t="s">
        <v>5</v>
      </c>
      <c r="C79" s="194"/>
      <c r="D79" s="194"/>
      <c r="E79" s="194"/>
      <c r="F79" s="241"/>
      <c r="G79" s="365"/>
      <c r="H79" s="125"/>
      <c r="I79" s="374"/>
      <c r="J79" s="241"/>
      <c r="K79" s="374"/>
      <c r="L79" s="241"/>
      <c r="M79" s="365"/>
      <c r="N79" s="241"/>
      <c r="O79" s="208"/>
      <c r="P79" s="422"/>
      <c r="Q79" s="452"/>
    </row>
    <row r="80" spans="1:17" s="155" customFormat="1" ht="52.5" customHeight="1" x14ac:dyDescent="0.25">
      <c r="A80" s="387" t="s">
        <v>147</v>
      </c>
      <c r="B80" s="382" t="s">
        <v>134</v>
      </c>
      <c r="C80" s="198"/>
      <c r="D80" s="198"/>
      <c r="E80" s="198"/>
      <c r="F80" s="372">
        <f t="shared" ref="F80:H80" si="52">SUM(F81:F85)</f>
        <v>189811.47</v>
      </c>
      <c r="G80" s="372">
        <f t="shared" si="52"/>
        <v>189811.47</v>
      </c>
      <c r="H80" s="366">
        <f t="shared" si="52"/>
        <v>57225.94</v>
      </c>
      <c r="I80" s="373">
        <f t="shared" si="37"/>
        <v>0.3</v>
      </c>
      <c r="J80" s="372">
        <f>SUM(J81:J85)</f>
        <v>42012.32</v>
      </c>
      <c r="K80" s="373">
        <f t="shared" si="47"/>
        <v>0.22</v>
      </c>
      <c r="L80" s="372">
        <f>SUM(L81:L85)</f>
        <v>189811.47</v>
      </c>
      <c r="M80" s="372">
        <f>SUM(M81:M85)</f>
        <v>189811.47</v>
      </c>
      <c r="N80" s="372">
        <f t="shared" si="49"/>
        <v>0</v>
      </c>
      <c r="O80" s="60">
        <f t="shared" ref="O80" si="53">O81+O82+O83+O84+O85</f>
        <v>0</v>
      </c>
      <c r="P80" s="420" t="s">
        <v>213</v>
      </c>
      <c r="Q80" s="452"/>
    </row>
    <row r="81" spans="1:17" s="158" customFormat="1" x14ac:dyDescent="0.25">
      <c r="A81" s="387"/>
      <c r="B81" s="383" t="s">
        <v>4</v>
      </c>
      <c r="C81" s="194"/>
      <c r="D81" s="194"/>
      <c r="E81" s="194"/>
      <c r="F81" s="241"/>
      <c r="G81" s="365"/>
      <c r="H81" s="125"/>
      <c r="I81" s="374"/>
      <c r="J81" s="241"/>
      <c r="K81" s="374"/>
      <c r="L81" s="241"/>
      <c r="M81" s="241"/>
      <c r="N81" s="241"/>
      <c r="O81" s="208">
        <f>G81-L81</f>
        <v>0</v>
      </c>
      <c r="P81" s="421"/>
      <c r="Q81" s="452"/>
    </row>
    <row r="82" spans="1:17" s="158" customFormat="1" x14ac:dyDescent="0.25">
      <c r="A82" s="387"/>
      <c r="B82" s="383" t="s">
        <v>185</v>
      </c>
      <c r="C82" s="194"/>
      <c r="D82" s="194"/>
      <c r="E82" s="194"/>
      <c r="F82" s="241">
        <v>152482.23999999999</v>
      </c>
      <c r="G82" s="241">
        <v>152482.23999999999</v>
      </c>
      <c r="H82" s="125">
        <v>50099.11</v>
      </c>
      <c r="I82" s="374">
        <f t="shared" si="37"/>
        <v>0.33</v>
      </c>
      <c r="J82" s="241">
        <v>34885.49</v>
      </c>
      <c r="K82" s="374">
        <f t="shared" si="47"/>
        <v>0.23</v>
      </c>
      <c r="L82" s="241">
        <v>152482.23999999999</v>
      </c>
      <c r="M82" s="241">
        <f>G82</f>
        <v>152482.23999999999</v>
      </c>
      <c r="N82" s="241">
        <f t="shared" si="49"/>
        <v>0</v>
      </c>
      <c r="O82" s="65">
        <f t="shared" ref="O82:O83" si="54">G82-L82</f>
        <v>0</v>
      </c>
      <c r="P82" s="421"/>
      <c r="Q82" s="452"/>
    </row>
    <row r="83" spans="1:17" s="158" customFormat="1" x14ac:dyDescent="0.25">
      <c r="A83" s="387"/>
      <c r="B83" s="383" t="s">
        <v>133</v>
      </c>
      <c r="C83" s="194"/>
      <c r="D83" s="194"/>
      <c r="E83" s="194"/>
      <c r="F83" s="241">
        <v>37329.230000000003</v>
      </c>
      <c r="G83" s="241">
        <v>37329.230000000003</v>
      </c>
      <c r="H83" s="125">
        <v>7126.83</v>
      </c>
      <c r="I83" s="374">
        <f t="shared" si="37"/>
        <v>0.19</v>
      </c>
      <c r="J83" s="241">
        <v>7126.83</v>
      </c>
      <c r="K83" s="374">
        <f t="shared" si="47"/>
        <v>0.19</v>
      </c>
      <c r="L83" s="241">
        <v>37329.230000000003</v>
      </c>
      <c r="M83" s="241">
        <f>G83</f>
        <v>37329.230000000003</v>
      </c>
      <c r="N83" s="241">
        <f t="shared" si="49"/>
        <v>0</v>
      </c>
      <c r="O83" s="65">
        <f t="shared" si="54"/>
        <v>0</v>
      </c>
      <c r="P83" s="421"/>
      <c r="Q83" s="452"/>
    </row>
    <row r="84" spans="1:17" s="158" customFormat="1" x14ac:dyDescent="0.25">
      <c r="A84" s="387"/>
      <c r="B84" s="383" t="s">
        <v>13</v>
      </c>
      <c r="C84" s="194"/>
      <c r="D84" s="194"/>
      <c r="E84" s="194"/>
      <c r="F84" s="241"/>
      <c r="G84" s="365"/>
      <c r="H84" s="125"/>
      <c r="I84" s="374"/>
      <c r="J84" s="241"/>
      <c r="K84" s="374"/>
      <c r="L84" s="241"/>
      <c r="M84" s="241"/>
      <c r="N84" s="241"/>
      <c r="O84" s="208"/>
      <c r="P84" s="421"/>
      <c r="Q84" s="452"/>
    </row>
    <row r="85" spans="1:17" s="158" customFormat="1" collapsed="1" x14ac:dyDescent="0.25">
      <c r="A85" s="387"/>
      <c r="B85" s="383" t="s">
        <v>5</v>
      </c>
      <c r="C85" s="194"/>
      <c r="D85" s="194"/>
      <c r="E85" s="194"/>
      <c r="F85" s="241"/>
      <c r="G85" s="365"/>
      <c r="H85" s="125"/>
      <c r="I85" s="374"/>
      <c r="J85" s="241"/>
      <c r="K85" s="374"/>
      <c r="L85" s="241"/>
      <c r="M85" s="241"/>
      <c r="N85" s="241"/>
      <c r="O85" s="208"/>
      <c r="P85" s="422"/>
      <c r="Q85" s="452"/>
    </row>
    <row r="86" spans="1:17" s="305" customFormat="1" ht="78.75" x14ac:dyDescent="0.25">
      <c r="A86" s="388" t="s">
        <v>148</v>
      </c>
      <c r="B86" s="384" t="s">
        <v>135</v>
      </c>
      <c r="C86" s="310"/>
      <c r="D86" s="310"/>
      <c r="E86" s="310"/>
      <c r="F86" s="366">
        <f t="shared" ref="F86:H86" si="55">SUM(F87:F91)</f>
        <v>143570.91</v>
      </c>
      <c r="G86" s="366">
        <f t="shared" si="55"/>
        <v>143570.91</v>
      </c>
      <c r="H86" s="366">
        <f t="shared" si="55"/>
        <v>47760.08</v>
      </c>
      <c r="I86" s="375">
        <f t="shared" si="37"/>
        <v>0.33</v>
      </c>
      <c r="J86" s="366">
        <f>SUM(J87:J91)</f>
        <v>47760.08</v>
      </c>
      <c r="K86" s="375">
        <f t="shared" si="47"/>
        <v>0.33</v>
      </c>
      <c r="L86" s="366">
        <f>SUM(L87:L91)</f>
        <v>116035.95</v>
      </c>
      <c r="M86" s="366">
        <f>SUM(M87:M91)</f>
        <v>143570.91</v>
      </c>
      <c r="N86" s="366">
        <f t="shared" si="49"/>
        <v>0</v>
      </c>
      <c r="O86" s="369">
        <f t="shared" ref="O86" si="56">O87+O88+O89+O90+O91</f>
        <v>27534.959999999999</v>
      </c>
      <c r="P86" s="333"/>
      <c r="Q86" s="452"/>
    </row>
    <row r="87" spans="1:17" s="307" customFormat="1" x14ac:dyDescent="0.25">
      <c r="A87" s="388"/>
      <c r="B87" s="363" t="s">
        <v>4</v>
      </c>
      <c r="C87" s="308"/>
      <c r="D87" s="308"/>
      <c r="E87" s="308"/>
      <c r="F87" s="125">
        <f>F93</f>
        <v>0</v>
      </c>
      <c r="G87" s="125">
        <f t="shared" ref="G87:H88" si="57">G93</f>
        <v>0</v>
      </c>
      <c r="H87" s="125">
        <f t="shared" si="57"/>
        <v>0</v>
      </c>
      <c r="I87" s="130"/>
      <c r="J87" s="125"/>
      <c r="K87" s="130"/>
      <c r="L87" s="125"/>
      <c r="M87" s="125"/>
      <c r="N87" s="125"/>
      <c r="O87" s="125">
        <f>G87-L87</f>
        <v>0</v>
      </c>
      <c r="P87" s="330"/>
      <c r="Q87" s="452"/>
    </row>
    <row r="88" spans="1:17" s="307" customFormat="1" x14ac:dyDescent="0.25">
      <c r="A88" s="388"/>
      <c r="B88" s="363" t="s">
        <v>185</v>
      </c>
      <c r="C88" s="308"/>
      <c r="D88" s="308"/>
      <c r="E88" s="308"/>
      <c r="F88" s="125">
        <f>F94</f>
        <v>113452</v>
      </c>
      <c r="G88" s="125">
        <f t="shared" si="57"/>
        <v>113452</v>
      </c>
      <c r="H88" s="125">
        <f xml:space="preserve"> H94</f>
        <v>38208.06</v>
      </c>
      <c r="I88" s="327">
        <f t="shared" si="37"/>
        <v>0.33700000000000002</v>
      </c>
      <c r="J88" s="125">
        <f>H88</f>
        <v>38208.06</v>
      </c>
      <c r="K88" s="327">
        <f t="shared" si="47"/>
        <v>0.33700000000000002</v>
      </c>
      <c r="L88" s="125">
        <f t="shared" ref="J88:L90" si="58">L94</f>
        <v>92828.76</v>
      </c>
      <c r="M88" s="125">
        <f t="shared" ref="M88:M90" si="59">M94</f>
        <v>113452</v>
      </c>
      <c r="N88" s="125">
        <f t="shared" si="49"/>
        <v>0</v>
      </c>
      <c r="O88" s="125">
        <f>G88-L88</f>
        <v>20623.240000000002</v>
      </c>
      <c r="P88" s="330"/>
      <c r="Q88" s="452"/>
    </row>
    <row r="89" spans="1:17" s="307" customFormat="1" x14ac:dyDescent="0.25">
      <c r="A89" s="388"/>
      <c r="B89" s="363" t="s">
        <v>133</v>
      </c>
      <c r="C89" s="308"/>
      <c r="D89" s="308"/>
      <c r="E89" s="308"/>
      <c r="F89" s="125">
        <f t="shared" ref="F89:H91" si="60">F95</f>
        <v>28363</v>
      </c>
      <c r="G89" s="125">
        <f t="shared" si="60"/>
        <v>28363</v>
      </c>
      <c r="H89" s="125">
        <f t="shared" si="60"/>
        <v>9552.02</v>
      </c>
      <c r="I89" s="130">
        <f t="shared" si="37"/>
        <v>0.34</v>
      </c>
      <c r="J89" s="125">
        <f t="shared" si="58"/>
        <v>9552.02</v>
      </c>
      <c r="K89" s="130">
        <f t="shared" si="47"/>
        <v>0.34</v>
      </c>
      <c r="L89" s="125">
        <f t="shared" si="58"/>
        <v>23207.19</v>
      </c>
      <c r="M89" s="125">
        <f t="shared" si="59"/>
        <v>28363</v>
      </c>
      <c r="N89" s="125">
        <f t="shared" si="49"/>
        <v>0</v>
      </c>
      <c r="O89" s="125">
        <f t="shared" ref="O89:O90" si="61">G89-L89</f>
        <v>5155.8100000000004</v>
      </c>
      <c r="P89" s="330"/>
      <c r="Q89" s="452"/>
    </row>
    <row r="90" spans="1:17" s="307" customFormat="1" x14ac:dyDescent="0.25">
      <c r="A90" s="388"/>
      <c r="B90" s="363" t="s">
        <v>13</v>
      </c>
      <c r="C90" s="308"/>
      <c r="D90" s="308"/>
      <c r="E90" s="308"/>
      <c r="F90" s="125">
        <f t="shared" si="60"/>
        <v>1755.91</v>
      </c>
      <c r="G90" s="125">
        <f t="shared" si="60"/>
        <v>1755.91</v>
      </c>
      <c r="H90" s="125">
        <f t="shared" si="60"/>
        <v>0</v>
      </c>
      <c r="I90" s="130">
        <f t="shared" si="37"/>
        <v>0</v>
      </c>
      <c r="J90" s="125">
        <f t="shared" si="58"/>
        <v>0</v>
      </c>
      <c r="K90" s="130">
        <f t="shared" si="47"/>
        <v>0</v>
      </c>
      <c r="L90" s="125">
        <f t="shared" si="58"/>
        <v>0</v>
      </c>
      <c r="M90" s="125">
        <f t="shared" si="59"/>
        <v>1755.91</v>
      </c>
      <c r="N90" s="125">
        <f t="shared" si="49"/>
        <v>0</v>
      </c>
      <c r="O90" s="125">
        <f t="shared" si="61"/>
        <v>1755.91</v>
      </c>
      <c r="P90" s="330"/>
      <c r="Q90" s="452"/>
    </row>
    <row r="91" spans="1:17" s="307" customFormat="1" collapsed="1" x14ac:dyDescent="0.25">
      <c r="A91" s="388"/>
      <c r="B91" s="363" t="s">
        <v>5</v>
      </c>
      <c r="C91" s="308"/>
      <c r="D91" s="308"/>
      <c r="E91" s="308"/>
      <c r="F91" s="125">
        <f t="shared" si="60"/>
        <v>0</v>
      </c>
      <c r="G91" s="125">
        <f t="shared" si="60"/>
        <v>0</v>
      </c>
      <c r="H91" s="125">
        <f t="shared" si="60"/>
        <v>0</v>
      </c>
      <c r="I91" s="130"/>
      <c r="J91" s="125"/>
      <c r="K91" s="130"/>
      <c r="L91" s="125"/>
      <c r="M91" s="125"/>
      <c r="N91" s="125"/>
      <c r="O91" s="65"/>
      <c r="P91" s="330"/>
      <c r="Q91" s="452"/>
    </row>
    <row r="92" spans="1:17" s="311" customFormat="1" ht="81" customHeight="1" x14ac:dyDescent="0.25">
      <c r="A92" s="388" t="s">
        <v>149</v>
      </c>
      <c r="B92" s="384" t="s">
        <v>136</v>
      </c>
      <c r="C92" s="310"/>
      <c r="D92" s="310"/>
      <c r="E92" s="310"/>
      <c r="F92" s="366">
        <f t="shared" ref="F92:H92" si="62">SUM(F93:F97)</f>
        <v>143570.91</v>
      </c>
      <c r="G92" s="366">
        <f t="shared" si="62"/>
        <v>143570.91</v>
      </c>
      <c r="H92" s="366">
        <f t="shared" si="62"/>
        <v>47760.08</v>
      </c>
      <c r="I92" s="375">
        <f t="shared" si="37"/>
        <v>0.33</v>
      </c>
      <c r="J92" s="366">
        <f>SUM(J93:J97)</f>
        <v>47760.08</v>
      </c>
      <c r="K92" s="375">
        <f t="shared" si="47"/>
        <v>0.33</v>
      </c>
      <c r="L92" s="366">
        <f>SUM(L93:L97)</f>
        <v>116035.95</v>
      </c>
      <c r="M92" s="366">
        <f>SUM(M93:M97)</f>
        <v>143570.91</v>
      </c>
      <c r="N92" s="366">
        <f t="shared" si="49"/>
        <v>0</v>
      </c>
      <c r="O92" s="369">
        <f t="shared" ref="O92" si="63">O93+O94+O95+O96+O97</f>
        <v>25779.05</v>
      </c>
      <c r="P92" s="418" t="s">
        <v>214</v>
      </c>
      <c r="Q92" s="452"/>
    </row>
    <row r="93" spans="1:17" s="307" customFormat="1" x14ac:dyDescent="0.25">
      <c r="A93" s="388"/>
      <c r="B93" s="363" t="s">
        <v>4</v>
      </c>
      <c r="C93" s="308"/>
      <c r="D93" s="308"/>
      <c r="E93" s="308"/>
      <c r="F93" s="125"/>
      <c r="G93" s="344"/>
      <c r="H93" s="125"/>
      <c r="I93" s="130"/>
      <c r="J93" s="125"/>
      <c r="K93" s="130"/>
      <c r="L93" s="125"/>
      <c r="M93" s="125"/>
      <c r="N93" s="125"/>
      <c r="O93" s="125">
        <f>G93-L93</f>
        <v>0</v>
      </c>
      <c r="P93" s="418"/>
      <c r="Q93" s="452"/>
    </row>
    <row r="94" spans="1:17" s="307" customFormat="1" ht="78.75" x14ac:dyDescent="0.25">
      <c r="A94" s="388"/>
      <c r="B94" s="384" t="s">
        <v>135</v>
      </c>
      <c r="C94" s="308"/>
      <c r="D94" s="308"/>
      <c r="E94" s="308"/>
      <c r="F94" s="125">
        <v>113452</v>
      </c>
      <c r="G94" s="125">
        <v>113452</v>
      </c>
      <c r="H94" s="125">
        <v>38208.06</v>
      </c>
      <c r="I94" s="327">
        <f t="shared" ref="I94:I113" si="64">H94/G94</f>
        <v>0.33700000000000002</v>
      </c>
      <c r="J94" s="125">
        <v>38208.06</v>
      </c>
      <c r="K94" s="327">
        <f t="shared" si="47"/>
        <v>0.33700000000000002</v>
      </c>
      <c r="L94" s="125">
        <v>92828.76</v>
      </c>
      <c r="M94" s="125">
        <f>G94</f>
        <v>113452</v>
      </c>
      <c r="N94" s="125">
        <f t="shared" si="49"/>
        <v>0</v>
      </c>
      <c r="O94" s="125">
        <f>G94-L94</f>
        <v>20623.240000000002</v>
      </c>
      <c r="P94" s="418"/>
      <c r="Q94" s="452"/>
    </row>
    <row r="95" spans="1:17" s="307" customFormat="1" x14ac:dyDescent="0.25">
      <c r="A95" s="388"/>
      <c r="B95" s="363" t="s">
        <v>133</v>
      </c>
      <c r="C95" s="308"/>
      <c r="D95" s="308"/>
      <c r="E95" s="308"/>
      <c r="F95" s="125">
        <v>28363</v>
      </c>
      <c r="G95" s="125">
        <v>28363</v>
      </c>
      <c r="H95" s="125">
        <v>9552.02</v>
      </c>
      <c r="I95" s="130">
        <f t="shared" si="64"/>
        <v>0.34</v>
      </c>
      <c r="J95" s="125">
        <v>9552.02</v>
      </c>
      <c r="K95" s="130">
        <f t="shared" si="47"/>
        <v>0.34</v>
      </c>
      <c r="L95" s="125">
        <v>23207.19</v>
      </c>
      <c r="M95" s="125">
        <f>G95</f>
        <v>28363</v>
      </c>
      <c r="N95" s="125">
        <f t="shared" si="49"/>
        <v>0</v>
      </c>
      <c r="O95" s="125">
        <f t="shared" ref="O95" si="65">G95-L95</f>
        <v>5155.8100000000004</v>
      </c>
      <c r="P95" s="418"/>
      <c r="Q95" s="452"/>
    </row>
    <row r="96" spans="1:17" s="307" customFormat="1" x14ac:dyDescent="0.25">
      <c r="A96" s="388"/>
      <c r="B96" s="363" t="s">
        <v>13</v>
      </c>
      <c r="C96" s="308"/>
      <c r="D96" s="308"/>
      <c r="E96" s="308"/>
      <c r="F96" s="125">
        <v>1755.91</v>
      </c>
      <c r="G96" s="125">
        <v>1755.91</v>
      </c>
      <c r="H96" s="125"/>
      <c r="I96" s="130">
        <f t="shared" si="64"/>
        <v>0</v>
      </c>
      <c r="J96" s="125"/>
      <c r="K96" s="130">
        <f t="shared" si="47"/>
        <v>0</v>
      </c>
      <c r="L96" s="125"/>
      <c r="M96" s="125">
        <f>G96</f>
        <v>1755.91</v>
      </c>
      <c r="N96" s="125">
        <f t="shared" si="49"/>
        <v>0</v>
      </c>
      <c r="O96" s="65"/>
      <c r="P96" s="418"/>
      <c r="Q96" s="452"/>
    </row>
    <row r="97" spans="1:17" s="307" customFormat="1" collapsed="1" x14ac:dyDescent="0.25">
      <c r="A97" s="388"/>
      <c r="B97" s="363" t="s">
        <v>5</v>
      </c>
      <c r="C97" s="308"/>
      <c r="D97" s="308"/>
      <c r="E97" s="308"/>
      <c r="F97" s="125"/>
      <c r="G97" s="344"/>
      <c r="H97" s="125"/>
      <c r="I97" s="130"/>
      <c r="J97" s="125"/>
      <c r="K97" s="130"/>
      <c r="L97" s="130"/>
      <c r="M97" s="125"/>
      <c r="N97" s="125"/>
      <c r="O97" s="65"/>
      <c r="P97" s="418"/>
      <c r="Q97" s="452"/>
    </row>
    <row r="98" spans="1:17" s="307" customFormat="1" ht="63" customHeight="1" x14ac:dyDescent="0.25">
      <c r="A98" s="388" t="s">
        <v>150</v>
      </c>
      <c r="B98" s="384" t="s">
        <v>137</v>
      </c>
      <c r="C98" s="310"/>
      <c r="D98" s="310"/>
      <c r="E98" s="310"/>
      <c r="F98" s="366">
        <f>SUM(F99:F103)</f>
        <v>923935.22</v>
      </c>
      <c r="G98" s="366">
        <f>SUM(G99:G103)</f>
        <v>923935.22</v>
      </c>
      <c r="H98" s="366">
        <f>SUM(H99:H103)</f>
        <v>923934.51</v>
      </c>
      <c r="I98" s="375">
        <f t="shared" si="64"/>
        <v>1</v>
      </c>
      <c r="J98" s="366">
        <f>SUM(J99:J103)</f>
        <v>923934.51</v>
      </c>
      <c r="K98" s="375">
        <f t="shared" si="47"/>
        <v>1</v>
      </c>
      <c r="L98" s="366">
        <f>SUM(L99:L103)</f>
        <v>923934.51</v>
      </c>
      <c r="M98" s="366">
        <f>SUM(M99:M103)</f>
        <v>923935.22</v>
      </c>
      <c r="N98" s="366">
        <f t="shared" si="49"/>
        <v>0</v>
      </c>
      <c r="O98" s="369">
        <f t="shared" ref="O98" si="66">O99+O100+O101+O102+O103</f>
        <v>0.71</v>
      </c>
      <c r="P98" s="418" t="s">
        <v>184</v>
      </c>
      <c r="Q98" s="452"/>
    </row>
    <row r="99" spans="1:17" s="307" customFormat="1" ht="36" customHeight="1" x14ac:dyDescent="0.25">
      <c r="A99" s="388"/>
      <c r="B99" s="363" t="s">
        <v>4</v>
      </c>
      <c r="C99" s="308"/>
      <c r="D99" s="308"/>
      <c r="E99" s="308"/>
      <c r="F99" s="125"/>
      <c r="G99" s="125"/>
      <c r="H99" s="125"/>
      <c r="I99" s="130"/>
      <c r="J99" s="125"/>
      <c r="K99" s="130"/>
      <c r="L99" s="125"/>
      <c r="M99" s="125"/>
      <c r="N99" s="125"/>
      <c r="O99" s="125">
        <f>G99-L99</f>
        <v>0</v>
      </c>
      <c r="P99" s="418"/>
      <c r="Q99" s="452"/>
    </row>
    <row r="100" spans="1:17" s="307" customFormat="1" ht="36" customHeight="1" x14ac:dyDescent="0.25">
      <c r="A100" s="388"/>
      <c r="B100" s="363" t="s">
        <v>185</v>
      </c>
      <c r="C100" s="308"/>
      <c r="D100" s="308"/>
      <c r="E100" s="308"/>
      <c r="F100" s="125">
        <v>830000</v>
      </c>
      <c r="G100" s="125">
        <v>830000</v>
      </c>
      <c r="H100" s="125">
        <v>830000</v>
      </c>
      <c r="I100" s="130">
        <f t="shared" si="64"/>
        <v>1</v>
      </c>
      <c r="J100" s="125">
        <v>830000</v>
      </c>
      <c r="K100" s="130">
        <f t="shared" si="47"/>
        <v>1</v>
      </c>
      <c r="L100" s="125">
        <v>830000</v>
      </c>
      <c r="M100" s="125">
        <f>G100</f>
        <v>830000</v>
      </c>
      <c r="N100" s="125">
        <f t="shared" si="49"/>
        <v>0</v>
      </c>
      <c r="O100" s="125">
        <f>G100-L100</f>
        <v>0</v>
      </c>
      <c r="P100" s="418"/>
      <c r="Q100" s="452"/>
    </row>
    <row r="101" spans="1:17" s="307" customFormat="1" ht="27.75" customHeight="1" x14ac:dyDescent="0.25">
      <c r="A101" s="388"/>
      <c r="B101" s="363" t="s">
        <v>133</v>
      </c>
      <c r="C101" s="308"/>
      <c r="D101" s="308"/>
      <c r="E101" s="308"/>
      <c r="F101" s="125">
        <v>93935.22</v>
      </c>
      <c r="G101" s="125">
        <v>93935.22</v>
      </c>
      <c r="H101" s="125">
        <f>J101</f>
        <v>93934.51</v>
      </c>
      <c r="I101" s="130">
        <f t="shared" si="64"/>
        <v>1</v>
      </c>
      <c r="J101" s="125">
        <v>93934.51</v>
      </c>
      <c r="K101" s="130">
        <f t="shared" si="47"/>
        <v>1</v>
      </c>
      <c r="L101" s="125">
        <v>93934.51</v>
      </c>
      <c r="M101" s="125">
        <f>G101</f>
        <v>93935.22</v>
      </c>
      <c r="N101" s="125">
        <f t="shared" si="49"/>
        <v>0</v>
      </c>
      <c r="O101" s="125">
        <f>G101-L101</f>
        <v>0.71</v>
      </c>
      <c r="P101" s="418"/>
      <c r="Q101" s="452"/>
    </row>
    <row r="102" spans="1:17" s="307" customFormat="1" ht="36" customHeight="1" x14ac:dyDescent="0.25">
      <c r="A102" s="388"/>
      <c r="B102" s="363" t="s">
        <v>13</v>
      </c>
      <c r="C102" s="308"/>
      <c r="D102" s="308"/>
      <c r="E102" s="308"/>
      <c r="F102" s="125"/>
      <c r="G102" s="125"/>
      <c r="H102" s="125"/>
      <c r="I102" s="130"/>
      <c r="J102" s="125"/>
      <c r="K102" s="130"/>
      <c r="L102" s="125"/>
      <c r="M102" s="125"/>
      <c r="N102" s="125"/>
      <c r="O102" s="65"/>
      <c r="P102" s="418"/>
      <c r="Q102" s="452"/>
    </row>
    <row r="103" spans="1:17" s="307" customFormat="1" ht="36" customHeight="1" x14ac:dyDescent="0.25">
      <c r="A103" s="388"/>
      <c r="B103" s="363" t="s">
        <v>5</v>
      </c>
      <c r="C103" s="308"/>
      <c r="D103" s="308"/>
      <c r="E103" s="308"/>
      <c r="F103" s="125"/>
      <c r="G103" s="125"/>
      <c r="H103" s="125"/>
      <c r="I103" s="130"/>
      <c r="J103" s="125"/>
      <c r="K103" s="130"/>
      <c r="L103" s="125"/>
      <c r="M103" s="125"/>
      <c r="N103" s="125"/>
      <c r="O103" s="65"/>
      <c r="P103" s="418"/>
      <c r="Q103" s="452"/>
    </row>
    <row r="104" spans="1:17" s="305" customFormat="1" ht="98.25" customHeight="1" x14ac:dyDescent="0.25">
      <c r="A104" s="385" t="s">
        <v>151</v>
      </c>
      <c r="B104" s="381" t="s">
        <v>180</v>
      </c>
      <c r="C104" s="309"/>
      <c r="D104" s="309"/>
      <c r="E104" s="309"/>
      <c r="F104" s="369">
        <f t="shared" ref="F104:G104" si="67">SUM(F105:F109)</f>
        <v>25102.98</v>
      </c>
      <c r="G104" s="369">
        <f t="shared" si="67"/>
        <v>26622.32</v>
      </c>
      <c r="H104" s="369">
        <f>SUM(H105:H109)</f>
        <v>23667.96</v>
      </c>
      <c r="I104" s="371">
        <f t="shared" si="64"/>
        <v>0.88900000000000001</v>
      </c>
      <c r="J104" s="369">
        <f>SUM(J105:J109)</f>
        <v>13391.08</v>
      </c>
      <c r="K104" s="371">
        <f t="shared" si="47"/>
        <v>0.503</v>
      </c>
      <c r="L104" s="369">
        <f>SUM(L105:L109)</f>
        <v>23775.49</v>
      </c>
      <c r="M104" s="369">
        <f t="shared" ref="M104" si="68">SUM(M105:M109)</f>
        <v>26622.32</v>
      </c>
      <c r="N104" s="376">
        <f t="shared" si="49"/>
        <v>0</v>
      </c>
      <c r="O104" s="369">
        <f t="shared" ref="O104" si="69">O105+O106+O107+O108+O109</f>
        <v>2846.83</v>
      </c>
      <c r="P104" s="334"/>
      <c r="Q104" s="452"/>
    </row>
    <row r="105" spans="1:17" s="307" customFormat="1" x14ac:dyDescent="0.25">
      <c r="A105" s="386"/>
      <c r="B105" s="363" t="s">
        <v>4</v>
      </c>
      <c r="C105" s="308"/>
      <c r="D105" s="308"/>
      <c r="E105" s="308"/>
      <c r="F105" s="125">
        <f>F129+F111+F117+F123+F135</f>
        <v>17057.03</v>
      </c>
      <c r="G105" s="125">
        <f t="shared" ref="G105" si="70">G129+G111+G117+G123+G135</f>
        <v>18576.37</v>
      </c>
      <c r="H105" s="125">
        <f>H111+H117+H123+H129+H135</f>
        <v>16104.24</v>
      </c>
      <c r="I105" s="130">
        <f t="shared" si="64"/>
        <v>0.87</v>
      </c>
      <c r="J105" s="125">
        <f t="shared" ref="J105:J107" si="71">J129+J111+J117+J123+J135</f>
        <v>8824.76</v>
      </c>
      <c r="K105" s="130">
        <f t="shared" si="47"/>
        <v>0.48</v>
      </c>
      <c r="L105" s="125">
        <f>L111+L117+L123+L129+L135</f>
        <v>16104.24</v>
      </c>
      <c r="M105" s="125">
        <f t="shared" ref="M105:M107" si="72">M129+M111+M117+M123+M135</f>
        <v>18576.37</v>
      </c>
      <c r="N105" s="125">
        <f t="shared" si="49"/>
        <v>0</v>
      </c>
      <c r="O105" s="125">
        <f>G105-L105</f>
        <v>2472.13</v>
      </c>
      <c r="P105" s="330"/>
      <c r="Q105" s="452"/>
    </row>
    <row r="106" spans="1:17" s="307" customFormat="1" x14ac:dyDescent="0.25">
      <c r="A106" s="386"/>
      <c r="B106" s="363" t="s">
        <v>130</v>
      </c>
      <c r="C106" s="308"/>
      <c r="D106" s="308"/>
      <c r="E106" s="308"/>
      <c r="F106" s="125">
        <f t="shared" ref="F106:H109" si="73">F130+F112+F118+F124+F136</f>
        <v>7592.45</v>
      </c>
      <c r="G106" s="125">
        <f t="shared" si="73"/>
        <v>7592.45</v>
      </c>
      <c r="H106" s="125">
        <f>H112++H118+H124+H130+H136</f>
        <v>7373.9</v>
      </c>
      <c r="I106" s="130">
        <f t="shared" si="64"/>
        <v>0.97</v>
      </c>
      <c r="J106" s="125">
        <f t="shared" si="71"/>
        <v>4376.5</v>
      </c>
      <c r="K106" s="130">
        <f t="shared" si="47"/>
        <v>0.57999999999999996</v>
      </c>
      <c r="L106" s="125">
        <f>L112+L118+L124+L130+L136</f>
        <v>7217.75</v>
      </c>
      <c r="M106" s="125">
        <f t="shared" si="72"/>
        <v>7592.45</v>
      </c>
      <c r="N106" s="125">
        <f t="shared" ref="N106:N135" si="74">G106-M106</f>
        <v>0</v>
      </c>
      <c r="O106" s="125">
        <f>G106-L106</f>
        <v>374.7</v>
      </c>
      <c r="P106" s="330"/>
      <c r="Q106" s="452"/>
    </row>
    <row r="107" spans="1:17" s="307" customFormat="1" x14ac:dyDescent="0.25">
      <c r="A107" s="386"/>
      <c r="B107" s="363" t="s">
        <v>133</v>
      </c>
      <c r="C107" s="308"/>
      <c r="D107" s="308"/>
      <c r="E107" s="308"/>
      <c r="F107" s="125">
        <f t="shared" si="73"/>
        <v>453.5</v>
      </c>
      <c r="G107" s="125">
        <f t="shared" si="73"/>
        <v>453.5</v>
      </c>
      <c r="H107" s="125">
        <f t="shared" si="73"/>
        <v>189.82</v>
      </c>
      <c r="I107" s="130">
        <f t="shared" si="64"/>
        <v>0.42</v>
      </c>
      <c r="J107" s="125">
        <f t="shared" si="71"/>
        <v>189.82</v>
      </c>
      <c r="K107" s="130">
        <f t="shared" si="47"/>
        <v>0.42</v>
      </c>
      <c r="L107" s="125">
        <f>L113+L119+L125+L131+L137</f>
        <v>453.5</v>
      </c>
      <c r="M107" s="125">
        <f t="shared" si="72"/>
        <v>453.5</v>
      </c>
      <c r="N107" s="125">
        <f t="shared" si="74"/>
        <v>0</v>
      </c>
      <c r="O107" s="125">
        <f t="shared" ref="O107" si="75">G107-L107</f>
        <v>0</v>
      </c>
      <c r="P107" s="330"/>
      <c r="Q107" s="452"/>
    </row>
    <row r="108" spans="1:17" s="307" customFormat="1" x14ac:dyDescent="0.25">
      <c r="A108" s="386"/>
      <c r="B108" s="363" t="s">
        <v>13</v>
      </c>
      <c r="C108" s="308"/>
      <c r="D108" s="308"/>
      <c r="E108" s="308"/>
      <c r="F108" s="125">
        <f t="shared" si="73"/>
        <v>0</v>
      </c>
      <c r="G108" s="125">
        <f t="shared" si="73"/>
        <v>0</v>
      </c>
      <c r="H108" s="125">
        <f t="shared" si="73"/>
        <v>0</v>
      </c>
      <c r="I108" s="130"/>
      <c r="J108" s="125"/>
      <c r="K108" s="130"/>
      <c r="L108" s="125"/>
      <c r="M108" s="125"/>
      <c r="N108" s="125"/>
      <c r="O108" s="65"/>
      <c r="P108" s="330"/>
      <c r="Q108" s="452"/>
    </row>
    <row r="109" spans="1:17" s="307" customFormat="1" ht="52.5" customHeight="1" collapsed="1" x14ac:dyDescent="0.25">
      <c r="A109" s="386"/>
      <c r="B109" s="363" t="s">
        <v>5</v>
      </c>
      <c r="C109" s="308"/>
      <c r="D109" s="308"/>
      <c r="E109" s="308"/>
      <c r="F109" s="125">
        <f t="shared" si="73"/>
        <v>0</v>
      </c>
      <c r="G109" s="125">
        <f t="shared" si="73"/>
        <v>0</v>
      </c>
      <c r="H109" s="125">
        <f t="shared" si="73"/>
        <v>0</v>
      </c>
      <c r="I109" s="130"/>
      <c r="J109" s="125"/>
      <c r="K109" s="130"/>
      <c r="L109" s="125"/>
      <c r="M109" s="125"/>
      <c r="N109" s="125"/>
      <c r="O109" s="65"/>
      <c r="P109" s="330"/>
      <c r="Q109" s="452"/>
    </row>
    <row r="110" spans="1:17" s="312" customFormat="1" ht="75.75" customHeight="1" x14ac:dyDescent="0.25">
      <c r="A110" s="388" t="s">
        <v>152</v>
      </c>
      <c r="B110" s="384" t="s">
        <v>139</v>
      </c>
      <c r="C110" s="310"/>
      <c r="D110" s="310"/>
      <c r="E110" s="310"/>
      <c r="F110" s="366">
        <f t="shared" ref="F110:H110" si="76">SUM(F111:F115)</f>
        <v>7596.36</v>
      </c>
      <c r="G110" s="366">
        <f t="shared" si="76"/>
        <v>7596.36</v>
      </c>
      <c r="H110" s="366">
        <f t="shared" si="76"/>
        <v>7080.1</v>
      </c>
      <c r="I110" s="375">
        <f>H110/G110</f>
        <v>0.93</v>
      </c>
      <c r="J110" s="366">
        <f>SUM(J111:J115)</f>
        <v>3796.41</v>
      </c>
      <c r="K110" s="375">
        <f t="shared" si="47"/>
        <v>0.5</v>
      </c>
      <c r="L110" s="366">
        <f>L111+L112+L113</f>
        <v>7343.78</v>
      </c>
      <c r="M110" s="375">
        <f>M111+M112+M113</f>
        <v>7596.36</v>
      </c>
      <c r="N110" s="375">
        <f>N111+N112+N113</f>
        <v>0</v>
      </c>
      <c r="O110" s="61">
        <f t="shared" ref="O110" si="77">O111+O112+O113+O114+O115</f>
        <v>252.58</v>
      </c>
      <c r="P110" s="417" t="s">
        <v>210</v>
      </c>
      <c r="Q110" s="452"/>
    </row>
    <row r="111" spans="1:17" s="313" customFormat="1" ht="39.75" customHeight="1" x14ac:dyDescent="0.25">
      <c r="A111" s="388"/>
      <c r="B111" s="363" t="s">
        <v>187</v>
      </c>
      <c r="C111" s="308"/>
      <c r="D111" s="308"/>
      <c r="E111" s="308"/>
      <c r="F111" s="125">
        <v>944.84</v>
      </c>
      <c r="G111" s="125">
        <v>944.84</v>
      </c>
      <c r="H111" s="125">
        <v>910.81</v>
      </c>
      <c r="I111" s="130">
        <f t="shared" si="64"/>
        <v>0.96</v>
      </c>
      <c r="J111" s="125">
        <v>468.37</v>
      </c>
      <c r="K111" s="130">
        <f t="shared" si="47"/>
        <v>0.5</v>
      </c>
      <c r="L111" s="377">
        <v>910.81</v>
      </c>
      <c r="M111" s="125">
        <f>G111</f>
        <v>944.84</v>
      </c>
      <c r="N111" s="125">
        <f t="shared" si="74"/>
        <v>0</v>
      </c>
      <c r="O111" s="65">
        <f>G111-L111</f>
        <v>34.03</v>
      </c>
      <c r="P111" s="417"/>
      <c r="Q111" s="452"/>
    </row>
    <row r="112" spans="1:17" s="313" customFormat="1" ht="39.75" customHeight="1" x14ac:dyDescent="0.25">
      <c r="A112" s="388"/>
      <c r="B112" s="363" t="s">
        <v>185</v>
      </c>
      <c r="C112" s="308"/>
      <c r="D112" s="308"/>
      <c r="E112" s="308"/>
      <c r="F112" s="125">
        <v>6198.02</v>
      </c>
      <c r="G112" s="125">
        <v>6198.02</v>
      </c>
      <c r="H112" s="125">
        <v>5979.47</v>
      </c>
      <c r="I112" s="130">
        <f t="shared" si="64"/>
        <v>0.96</v>
      </c>
      <c r="J112" s="125">
        <v>3138.22</v>
      </c>
      <c r="K112" s="130">
        <f t="shared" si="47"/>
        <v>0.51</v>
      </c>
      <c r="L112" s="377">
        <v>5979.47</v>
      </c>
      <c r="M112" s="125">
        <f>G112</f>
        <v>6198.02</v>
      </c>
      <c r="N112" s="125">
        <f t="shared" si="74"/>
        <v>0</v>
      </c>
      <c r="O112" s="65">
        <f>G112-L112</f>
        <v>218.55</v>
      </c>
      <c r="P112" s="417"/>
      <c r="Q112" s="452"/>
    </row>
    <row r="113" spans="1:17" s="313" customFormat="1" ht="39.75" customHeight="1" x14ac:dyDescent="0.25">
      <c r="A113" s="388"/>
      <c r="B113" s="363" t="s">
        <v>133</v>
      </c>
      <c r="C113" s="308"/>
      <c r="D113" s="308"/>
      <c r="E113" s="308"/>
      <c r="F113" s="125">
        <v>453.5</v>
      </c>
      <c r="G113" s="125">
        <v>453.5</v>
      </c>
      <c r="H113" s="125">
        <v>189.82</v>
      </c>
      <c r="I113" s="130">
        <f t="shared" si="64"/>
        <v>0.42</v>
      </c>
      <c r="J113" s="125">
        <v>189.82</v>
      </c>
      <c r="K113" s="130">
        <f t="shared" si="47"/>
        <v>0.42</v>
      </c>
      <c r="L113" s="377">
        <v>453.5</v>
      </c>
      <c r="M113" s="125">
        <f>G113</f>
        <v>453.5</v>
      </c>
      <c r="N113" s="125">
        <f t="shared" si="74"/>
        <v>0</v>
      </c>
      <c r="O113" s="65">
        <f>G113-L113</f>
        <v>0</v>
      </c>
      <c r="P113" s="417"/>
      <c r="Q113" s="452"/>
    </row>
    <row r="114" spans="1:17" s="313" customFormat="1" ht="39.75" customHeight="1" x14ac:dyDescent="0.25">
      <c r="A114" s="388"/>
      <c r="B114" s="363" t="s">
        <v>13</v>
      </c>
      <c r="C114" s="308"/>
      <c r="D114" s="308"/>
      <c r="E114" s="308"/>
      <c r="F114" s="125"/>
      <c r="G114" s="344"/>
      <c r="H114" s="125"/>
      <c r="I114" s="130"/>
      <c r="J114" s="125"/>
      <c r="K114" s="130"/>
      <c r="L114" s="130"/>
      <c r="M114" s="125"/>
      <c r="N114" s="125">
        <f t="shared" si="74"/>
        <v>0</v>
      </c>
      <c r="O114" s="65"/>
      <c r="P114" s="417"/>
      <c r="Q114" s="452"/>
    </row>
    <row r="115" spans="1:17" s="313" customFormat="1" ht="39.75" customHeight="1" collapsed="1" x14ac:dyDescent="0.25">
      <c r="A115" s="388"/>
      <c r="B115" s="363" t="s">
        <v>5</v>
      </c>
      <c r="C115" s="308"/>
      <c r="D115" s="308"/>
      <c r="E115" s="308"/>
      <c r="F115" s="125"/>
      <c r="G115" s="344"/>
      <c r="H115" s="125"/>
      <c r="I115" s="130"/>
      <c r="J115" s="125"/>
      <c r="K115" s="130"/>
      <c r="L115" s="130"/>
      <c r="M115" s="125"/>
      <c r="N115" s="125">
        <f t="shared" si="74"/>
        <v>0</v>
      </c>
      <c r="O115" s="65"/>
      <c r="P115" s="417"/>
      <c r="Q115" s="452"/>
    </row>
    <row r="116" spans="1:17" s="312" customFormat="1" ht="177.75" customHeight="1" x14ac:dyDescent="0.25">
      <c r="A116" s="388" t="s">
        <v>153</v>
      </c>
      <c r="B116" s="384" t="s">
        <v>140</v>
      </c>
      <c r="C116" s="314"/>
      <c r="D116" s="314"/>
      <c r="E116" s="314"/>
      <c r="F116" s="366">
        <f t="shared" ref="F116:H116" si="78">SUM(F117:F121)</f>
        <v>1.7</v>
      </c>
      <c r="G116" s="366">
        <f t="shared" si="78"/>
        <v>1.7</v>
      </c>
      <c r="H116" s="366">
        <f t="shared" si="78"/>
        <v>1.7</v>
      </c>
      <c r="I116" s="375">
        <f t="shared" ref="I116:I140" si="79">H116/G116</f>
        <v>1</v>
      </c>
      <c r="J116" s="366">
        <f>SUM(J117:J121)</f>
        <v>1.7</v>
      </c>
      <c r="K116" s="378">
        <f t="shared" ref="K116:K140" si="80">J116/G116</f>
        <v>1</v>
      </c>
      <c r="L116" s="377">
        <f>L118</f>
        <v>1.7</v>
      </c>
      <c r="M116" s="366">
        <f>SUM(M117:M121)</f>
        <v>1.7</v>
      </c>
      <c r="N116" s="366">
        <f t="shared" si="74"/>
        <v>0</v>
      </c>
      <c r="O116" s="61">
        <f t="shared" ref="O116" si="81">O117+O118+O119+O120+O121</f>
        <v>0</v>
      </c>
      <c r="P116" s="417" t="s">
        <v>211</v>
      </c>
      <c r="Q116" s="452"/>
    </row>
    <row r="117" spans="1:17" s="313" customFormat="1" x14ac:dyDescent="0.25">
      <c r="A117" s="388"/>
      <c r="B117" s="363" t="s">
        <v>4</v>
      </c>
      <c r="C117" s="335"/>
      <c r="D117" s="335"/>
      <c r="E117" s="335"/>
      <c r="F117" s="125"/>
      <c r="G117" s="125"/>
      <c r="H117" s="125"/>
      <c r="I117" s="130"/>
      <c r="J117" s="125"/>
      <c r="K117" s="130"/>
      <c r="L117" s="130"/>
      <c r="M117" s="125"/>
      <c r="N117" s="125"/>
      <c r="O117" s="65">
        <f>G117-L117</f>
        <v>0</v>
      </c>
      <c r="P117" s="417"/>
      <c r="Q117" s="452"/>
    </row>
    <row r="118" spans="1:17" s="313" customFormat="1" x14ac:dyDescent="0.25">
      <c r="A118" s="388"/>
      <c r="B118" s="363" t="s">
        <v>130</v>
      </c>
      <c r="C118" s="335"/>
      <c r="D118" s="335"/>
      <c r="E118" s="335"/>
      <c r="F118" s="125">
        <v>1.7</v>
      </c>
      <c r="G118" s="125">
        <v>1.7</v>
      </c>
      <c r="H118" s="125">
        <v>1.7</v>
      </c>
      <c r="I118" s="130">
        <f t="shared" si="79"/>
        <v>1</v>
      </c>
      <c r="J118" s="125">
        <v>1.7</v>
      </c>
      <c r="K118" s="327">
        <f t="shared" si="80"/>
        <v>1</v>
      </c>
      <c r="L118" s="377">
        <v>1.7</v>
      </c>
      <c r="M118" s="125">
        <f>G118</f>
        <v>1.7</v>
      </c>
      <c r="N118" s="125">
        <f t="shared" si="74"/>
        <v>0</v>
      </c>
      <c r="O118" s="65">
        <f>G118-L118</f>
        <v>0</v>
      </c>
      <c r="P118" s="417"/>
      <c r="Q118" s="452"/>
    </row>
    <row r="119" spans="1:17" s="313" customFormat="1" x14ac:dyDescent="0.25">
      <c r="A119" s="388"/>
      <c r="B119" s="363" t="s">
        <v>133</v>
      </c>
      <c r="C119" s="335"/>
      <c r="D119" s="335"/>
      <c r="E119" s="335"/>
      <c r="F119" s="125"/>
      <c r="G119" s="125"/>
      <c r="H119" s="125"/>
      <c r="I119" s="130"/>
      <c r="J119" s="125"/>
      <c r="K119" s="130"/>
      <c r="L119" s="130"/>
      <c r="M119" s="125"/>
      <c r="N119" s="125"/>
      <c r="O119" s="65">
        <f t="shared" ref="O119" si="82">G119-L119</f>
        <v>0</v>
      </c>
      <c r="P119" s="417"/>
      <c r="Q119" s="452"/>
    </row>
    <row r="120" spans="1:17" s="313" customFormat="1" x14ac:dyDescent="0.25">
      <c r="A120" s="388"/>
      <c r="B120" s="363" t="s">
        <v>13</v>
      </c>
      <c r="C120" s="335"/>
      <c r="D120" s="335"/>
      <c r="E120" s="335"/>
      <c r="F120" s="125"/>
      <c r="G120" s="125"/>
      <c r="H120" s="125"/>
      <c r="I120" s="130"/>
      <c r="J120" s="125"/>
      <c r="K120" s="130"/>
      <c r="L120" s="130"/>
      <c r="M120" s="125"/>
      <c r="N120" s="125"/>
      <c r="O120" s="65"/>
      <c r="P120" s="417"/>
      <c r="Q120" s="452"/>
    </row>
    <row r="121" spans="1:17" s="313" customFormat="1" collapsed="1" x14ac:dyDescent="0.25">
      <c r="A121" s="388"/>
      <c r="B121" s="363" t="s">
        <v>5</v>
      </c>
      <c r="C121" s="335"/>
      <c r="D121" s="335"/>
      <c r="E121" s="335"/>
      <c r="F121" s="125"/>
      <c r="G121" s="125"/>
      <c r="H121" s="125"/>
      <c r="I121" s="130"/>
      <c r="J121" s="125"/>
      <c r="K121" s="130"/>
      <c r="L121" s="130"/>
      <c r="M121" s="125"/>
      <c r="N121" s="125"/>
      <c r="O121" s="65"/>
      <c r="P121" s="417"/>
      <c r="Q121" s="452"/>
    </row>
    <row r="122" spans="1:17" s="315" customFormat="1" ht="118.5" customHeight="1" outlineLevel="1" x14ac:dyDescent="0.25">
      <c r="A122" s="388" t="s">
        <v>154</v>
      </c>
      <c r="B122" s="384" t="s">
        <v>141</v>
      </c>
      <c r="C122" s="314"/>
      <c r="D122" s="314"/>
      <c r="E122" s="314"/>
      <c r="F122" s="366">
        <f t="shared" ref="F122:H122" si="83">SUM(F123:F127)</f>
        <v>9116.06</v>
      </c>
      <c r="G122" s="366">
        <f t="shared" si="83"/>
        <v>10635.4</v>
      </c>
      <c r="H122" s="366">
        <f t="shared" si="83"/>
        <v>10635.4</v>
      </c>
      <c r="I122" s="375">
        <f t="shared" si="79"/>
        <v>1</v>
      </c>
      <c r="J122" s="366">
        <f>SUM(J123:J127)</f>
        <v>3798.36</v>
      </c>
      <c r="K122" s="375">
        <f t="shared" si="80"/>
        <v>0.36</v>
      </c>
      <c r="L122" s="125">
        <f>L123</f>
        <v>10635.4</v>
      </c>
      <c r="M122" s="366">
        <f>SUM(M123:M127)</f>
        <v>10635.4</v>
      </c>
      <c r="N122" s="366">
        <f t="shared" si="74"/>
        <v>0</v>
      </c>
      <c r="O122" s="61">
        <f t="shared" ref="O122" si="84">O123+O124+O125+O126+O127</f>
        <v>0</v>
      </c>
      <c r="P122" s="417" t="s">
        <v>219</v>
      </c>
      <c r="Q122" s="452"/>
    </row>
    <row r="123" spans="1:17" s="313" customFormat="1" outlineLevel="1" x14ac:dyDescent="0.25">
      <c r="A123" s="388"/>
      <c r="B123" s="363" t="s">
        <v>4</v>
      </c>
      <c r="C123" s="335"/>
      <c r="D123" s="335"/>
      <c r="E123" s="335"/>
      <c r="F123" s="125">
        <v>9116.06</v>
      </c>
      <c r="G123" s="125">
        <v>10635.4</v>
      </c>
      <c r="H123" s="125">
        <v>10635.4</v>
      </c>
      <c r="I123" s="130">
        <f t="shared" si="79"/>
        <v>1</v>
      </c>
      <c r="J123" s="125">
        <v>3798.36</v>
      </c>
      <c r="K123" s="130">
        <f t="shared" si="80"/>
        <v>0.36</v>
      </c>
      <c r="L123" s="379">
        <v>10635.4</v>
      </c>
      <c r="M123" s="125">
        <f>G123</f>
        <v>10635.4</v>
      </c>
      <c r="N123" s="125">
        <f t="shared" si="74"/>
        <v>0</v>
      </c>
      <c r="O123" s="65">
        <f>G123-L123</f>
        <v>0</v>
      </c>
      <c r="P123" s="417"/>
      <c r="Q123" s="452"/>
    </row>
    <row r="124" spans="1:17" s="313" customFormat="1" outlineLevel="1" x14ac:dyDescent="0.25">
      <c r="A124" s="388"/>
      <c r="B124" s="363" t="s">
        <v>130</v>
      </c>
      <c r="C124" s="335"/>
      <c r="D124" s="335"/>
      <c r="E124" s="335"/>
      <c r="F124" s="125"/>
      <c r="G124" s="125"/>
      <c r="H124" s="125"/>
      <c r="I124" s="130"/>
      <c r="J124" s="125"/>
      <c r="K124" s="130"/>
      <c r="L124" s="130"/>
      <c r="M124" s="125"/>
      <c r="N124" s="125"/>
      <c r="O124" s="65">
        <f>G124-L124</f>
        <v>0</v>
      </c>
      <c r="P124" s="417"/>
      <c r="Q124" s="452"/>
    </row>
    <row r="125" spans="1:17" s="313" customFormat="1" outlineLevel="1" x14ac:dyDescent="0.25">
      <c r="A125" s="388"/>
      <c r="B125" s="363" t="s">
        <v>133</v>
      </c>
      <c r="C125" s="335"/>
      <c r="D125" s="335"/>
      <c r="E125" s="335"/>
      <c r="F125" s="125"/>
      <c r="G125" s="125"/>
      <c r="H125" s="125"/>
      <c r="I125" s="130"/>
      <c r="J125" s="125"/>
      <c r="K125" s="130"/>
      <c r="L125" s="130"/>
      <c r="M125" s="125"/>
      <c r="N125" s="125"/>
      <c r="O125" s="65">
        <f t="shared" ref="O125" si="85">G125-L125</f>
        <v>0</v>
      </c>
      <c r="P125" s="417"/>
      <c r="Q125" s="452"/>
    </row>
    <row r="126" spans="1:17" s="313" customFormat="1" outlineLevel="1" x14ac:dyDescent="0.25">
      <c r="A126" s="388"/>
      <c r="B126" s="363" t="s">
        <v>13</v>
      </c>
      <c r="C126" s="335"/>
      <c r="D126" s="335"/>
      <c r="E126" s="335"/>
      <c r="F126" s="125"/>
      <c r="G126" s="344"/>
      <c r="H126" s="125"/>
      <c r="I126" s="130"/>
      <c r="J126" s="125"/>
      <c r="K126" s="130"/>
      <c r="L126" s="130"/>
      <c r="M126" s="125"/>
      <c r="N126" s="125"/>
      <c r="O126" s="65"/>
      <c r="P126" s="417"/>
      <c r="Q126" s="452"/>
    </row>
    <row r="127" spans="1:17" s="313" customFormat="1" outlineLevel="1" collapsed="1" x14ac:dyDescent="0.25">
      <c r="A127" s="388"/>
      <c r="B127" s="363" t="s">
        <v>5</v>
      </c>
      <c r="C127" s="335"/>
      <c r="D127" s="335"/>
      <c r="E127" s="335"/>
      <c r="F127" s="125"/>
      <c r="G127" s="344"/>
      <c r="H127" s="125"/>
      <c r="I127" s="130"/>
      <c r="J127" s="125"/>
      <c r="K127" s="130"/>
      <c r="L127" s="130"/>
      <c r="M127" s="125"/>
      <c r="N127" s="125"/>
      <c r="O127" s="65"/>
      <c r="P127" s="417"/>
      <c r="Q127" s="452"/>
    </row>
    <row r="128" spans="1:17" s="311" customFormat="1" ht="89.25" customHeight="1" x14ac:dyDescent="0.25">
      <c r="A128" s="388" t="s">
        <v>155</v>
      </c>
      <c r="B128" s="384" t="s">
        <v>142</v>
      </c>
      <c r="C128" s="310"/>
      <c r="D128" s="310"/>
      <c r="E128" s="310"/>
      <c r="F128" s="366">
        <f t="shared" ref="F128:H128" si="86">SUM(F129:F133)</f>
        <v>5950.76</v>
      </c>
      <c r="G128" s="366">
        <f t="shared" si="86"/>
        <v>5950.76</v>
      </c>
      <c r="H128" s="366">
        <f t="shared" si="86"/>
        <v>5950.76</v>
      </c>
      <c r="I128" s="375">
        <f t="shared" si="79"/>
        <v>1</v>
      </c>
      <c r="J128" s="366">
        <f>SUM(J129:J133)</f>
        <v>5794.61</v>
      </c>
      <c r="K128" s="375">
        <f t="shared" si="80"/>
        <v>0.97</v>
      </c>
      <c r="L128" s="366">
        <f>SUM(L129:L133)</f>
        <v>5794.61</v>
      </c>
      <c r="M128" s="366">
        <f>SUM(M129:M133)</f>
        <v>5950.76</v>
      </c>
      <c r="N128" s="366">
        <f t="shared" si="74"/>
        <v>0</v>
      </c>
      <c r="O128" s="366">
        <f t="shared" ref="O128" si="87">O129+O130+O131+O132+O133</f>
        <v>156.15</v>
      </c>
      <c r="P128" s="415" t="s">
        <v>178</v>
      </c>
      <c r="Q128" s="452"/>
    </row>
    <row r="129" spans="1:17" s="307" customFormat="1" ht="25.5" customHeight="1" x14ac:dyDescent="0.25">
      <c r="A129" s="388"/>
      <c r="B129" s="363" t="s">
        <v>4</v>
      </c>
      <c r="C129" s="308"/>
      <c r="D129" s="308"/>
      <c r="E129" s="308"/>
      <c r="F129" s="125">
        <v>4558.03</v>
      </c>
      <c r="G129" s="125">
        <v>4558.03</v>
      </c>
      <c r="H129" s="125">
        <f>G129</f>
        <v>4558.03</v>
      </c>
      <c r="I129" s="130">
        <f t="shared" si="79"/>
        <v>1</v>
      </c>
      <c r="J129" s="125">
        <v>4558.03</v>
      </c>
      <c r="K129" s="130">
        <f t="shared" si="80"/>
        <v>1</v>
      </c>
      <c r="L129" s="380">
        <v>4558.0320000000002</v>
      </c>
      <c r="M129" s="125">
        <f>G129</f>
        <v>4558.03</v>
      </c>
      <c r="N129" s="125">
        <f t="shared" si="74"/>
        <v>0</v>
      </c>
      <c r="O129" s="125">
        <f>G129-L129</f>
        <v>0</v>
      </c>
      <c r="P129" s="415"/>
      <c r="Q129" s="452"/>
    </row>
    <row r="130" spans="1:17" s="307" customFormat="1" ht="25.5" customHeight="1" x14ac:dyDescent="0.25">
      <c r="A130" s="388"/>
      <c r="B130" s="363" t="s">
        <v>130</v>
      </c>
      <c r="C130" s="308"/>
      <c r="D130" s="308"/>
      <c r="E130" s="308"/>
      <c r="F130" s="125">
        <v>1392.73</v>
      </c>
      <c r="G130" s="125">
        <v>1392.73</v>
      </c>
      <c r="H130" s="391">
        <f>G130</f>
        <v>1392.73</v>
      </c>
      <c r="I130" s="130">
        <f t="shared" si="79"/>
        <v>1</v>
      </c>
      <c r="J130" s="125">
        <v>1236.58</v>
      </c>
      <c r="K130" s="130">
        <f t="shared" si="80"/>
        <v>0.89</v>
      </c>
      <c r="L130" s="125">
        <v>1236.58</v>
      </c>
      <c r="M130" s="125">
        <f>G130</f>
        <v>1392.73</v>
      </c>
      <c r="N130" s="125">
        <f t="shared" si="74"/>
        <v>0</v>
      </c>
      <c r="O130" s="125">
        <f>G130-L130</f>
        <v>156.15</v>
      </c>
      <c r="P130" s="415"/>
      <c r="Q130" s="452"/>
    </row>
    <row r="131" spans="1:17" s="307" customFormat="1" ht="25.5" customHeight="1" x14ac:dyDescent="0.25">
      <c r="A131" s="388"/>
      <c r="B131" s="363" t="s">
        <v>133</v>
      </c>
      <c r="C131" s="308"/>
      <c r="D131" s="308"/>
      <c r="E131" s="308"/>
      <c r="F131" s="125"/>
      <c r="G131" s="125"/>
      <c r="H131" s="125"/>
      <c r="I131" s="130"/>
      <c r="J131" s="125"/>
      <c r="K131" s="130"/>
      <c r="L131" s="130"/>
      <c r="M131" s="125"/>
      <c r="N131" s="125"/>
      <c r="O131" s="125">
        <f t="shared" ref="O131" si="88">G131-L131</f>
        <v>0</v>
      </c>
      <c r="P131" s="415"/>
      <c r="Q131" s="452"/>
    </row>
    <row r="132" spans="1:17" s="307" customFormat="1" ht="25.5" customHeight="1" x14ac:dyDescent="0.25">
      <c r="A132" s="388"/>
      <c r="B132" s="363" t="s">
        <v>13</v>
      </c>
      <c r="C132" s="308"/>
      <c r="D132" s="308"/>
      <c r="E132" s="308"/>
      <c r="F132" s="125"/>
      <c r="G132" s="344"/>
      <c r="H132" s="125"/>
      <c r="I132" s="130"/>
      <c r="J132" s="125"/>
      <c r="K132" s="130"/>
      <c r="L132" s="130"/>
      <c r="M132" s="125"/>
      <c r="N132" s="125"/>
      <c r="O132" s="125"/>
      <c r="P132" s="415"/>
      <c r="Q132" s="452"/>
    </row>
    <row r="133" spans="1:17" s="307" customFormat="1" ht="25.5" customHeight="1" x14ac:dyDescent="0.25">
      <c r="A133" s="388"/>
      <c r="B133" s="363" t="s">
        <v>5</v>
      </c>
      <c r="C133" s="308"/>
      <c r="D133" s="308"/>
      <c r="E133" s="308"/>
      <c r="F133" s="125"/>
      <c r="G133" s="344"/>
      <c r="H133" s="125"/>
      <c r="I133" s="130"/>
      <c r="J133" s="125"/>
      <c r="K133" s="130"/>
      <c r="L133" s="130"/>
      <c r="M133" s="125"/>
      <c r="N133" s="125"/>
      <c r="O133" s="125"/>
      <c r="P133" s="415"/>
      <c r="Q133" s="452"/>
    </row>
    <row r="134" spans="1:17" s="311" customFormat="1" ht="80.25" customHeight="1" x14ac:dyDescent="0.25">
      <c r="A134" s="388" t="s">
        <v>156</v>
      </c>
      <c r="B134" s="384" t="s">
        <v>208</v>
      </c>
      <c r="C134" s="310"/>
      <c r="D134" s="310"/>
      <c r="E134" s="310"/>
      <c r="F134" s="366">
        <f t="shared" ref="F134:H134" si="89">SUM(F135:F139)</f>
        <v>2438.1</v>
      </c>
      <c r="G134" s="366">
        <f t="shared" si="89"/>
        <v>2438.1</v>
      </c>
      <c r="H134" s="366">
        <f t="shared" si="89"/>
        <v>0</v>
      </c>
      <c r="I134" s="375">
        <f t="shared" si="79"/>
        <v>0</v>
      </c>
      <c r="J134" s="366">
        <f>SUM(J135:J139)</f>
        <v>0</v>
      </c>
      <c r="K134" s="375">
        <f t="shared" si="80"/>
        <v>0</v>
      </c>
      <c r="L134" s="375"/>
      <c r="M134" s="366">
        <f>SUM(M135:M139)</f>
        <v>2438.1</v>
      </c>
      <c r="N134" s="366">
        <f t="shared" si="74"/>
        <v>0</v>
      </c>
      <c r="O134" s="366">
        <f t="shared" ref="O134" si="90">O135+O136+O137+O138+O139</f>
        <v>2438.1</v>
      </c>
      <c r="P134" s="343" t="s">
        <v>209</v>
      </c>
      <c r="Q134" s="452"/>
    </row>
    <row r="135" spans="1:17" s="307" customFormat="1" x14ac:dyDescent="0.25">
      <c r="A135" s="389"/>
      <c r="B135" s="363" t="s">
        <v>144</v>
      </c>
      <c r="C135" s="308"/>
      <c r="D135" s="308"/>
      <c r="E135" s="308"/>
      <c r="F135" s="125">
        <v>2438.1</v>
      </c>
      <c r="G135" s="125">
        <v>2438.1</v>
      </c>
      <c r="H135" s="125"/>
      <c r="I135" s="130">
        <f t="shared" si="79"/>
        <v>0</v>
      </c>
      <c r="J135" s="125"/>
      <c r="K135" s="130">
        <f t="shared" si="80"/>
        <v>0</v>
      </c>
      <c r="L135" s="130"/>
      <c r="M135" s="125">
        <f>G135</f>
        <v>2438.1</v>
      </c>
      <c r="N135" s="125">
        <f t="shared" si="74"/>
        <v>0</v>
      </c>
      <c r="O135" s="125">
        <f>G135-L135</f>
        <v>2438.1</v>
      </c>
      <c r="P135" s="330"/>
      <c r="Q135" s="452"/>
    </row>
    <row r="136" spans="1:17" s="307" customFormat="1" x14ac:dyDescent="0.25">
      <c r="A136" s="389"/>
      <c r="B136" s="363" t="s">
        <v>130</v>
      </c>
      <c r="C136" s="308"/>
      <c r="D136" s="308"/>
      <c r="E136" s="308"/>
      <c r="F136" s="125"/>
      <c r="G136" s="125"/>
      <c r="H136" s="125"/>
      <c r="I136" s="130"/>
      <c r="J136" s="125"/>
      <c r="K136" s="130"/>
      <c r="L136" s="130"/>
      <c r="M136" s="125"/>
      <c r="N136" s="125"/>
      <c r="O136" s="125">
        <f>G136-L136</f>
        <v>0</v>
      </c>
      <c r="P136" s="330"/>
      <c r="Q136" s="452"/>
    </row>
    <row r="137" spans="1:17" s="307" customFormat="1" x14ac:dyDescent="0.25">
      <c r="A137" s="389"/>
      <c r="B137" s="363" t="s">
        <v>133</v>
      </c>
      <c r="C137" s="308"/>
      <c r="D137" s="308"/>
      <c r="E137" s="308"/>
      <c r="F137" s="125"/>
      <c r="G137" s="125"/>
      <c r="H137" s="125"/>
      <c r="I137" s="130"/>
      <c r="J137" s="125"/>
      <c r="K137" s="130"/>
      <c r="L137" s="130"/>
      <c r="M137" s="125"/>
      <c r="N137" s="125"/>
      <c r="O137" s="125">
        <f t="shared" ref="O137" si="91">G137-L137</f>
        <v>0</v>
      </c>
      <c r="P137" s="330"/>
      <c r="Q137" s="452"/>
    </row>
    <row r="138" spans="1:17" s="307" customFormat="1" x14ac:dyDescent="0.25">
      <c r="A138" s="389"/>
      <c r="B138" s="363" t="s">
        <v>13</v>
      </c>
      <c r="C138" s="308"/>
      <c r="D138" s="308"/>
      <c r="E138" s="308"/>
      <c r="F138" s="125"/>
      <c r="G138" s="344"/>
      <c r="H138" s="125"/>
      <c r="I138" s="130"/>
      <c r="J138" s="125"/>
      <c r="K138" s="130"/>
      <c r="L138" s="130"/>
      <c r="M138" s="125"/>
      <c r="N138" s="125"/>
      <c r="O138" s="125"/>
      <c r="P138" s="330"/>
      <c r="Q138" s="452"/>
    </row>
    <row r="139" spans="1:17" s="307" customFormat="1" x14ac:dyDescent="0.25">
      <c r="A139" s="389"/>
      <c r="B139" s="363" t="s">
        <v>5</v>
      </c>
      <c r="C139" s="308"/>
      <c r="D139" s="308"/>
      <c r="E139" s="308"/>
      <c r="F139" s="125"/>
      <c r="G139" s="344"/>
      <c r="H139" s="125"/>
      <c r="I139" s="130"/>
      <c r="J139" s="125"/>
      <c r="K139" s="130"/>
      <c r="L139" s="130"/>
      <c r="M139" s="125"/>
      <c r="N139" s="125"/>
      <c r="O139" s="125"/>
      <c r="P139" s="330"/>
      <c r="Q139" s="452"/>
    </row>
    <row r="140" spans="1:17" s="302" customFormat="1" ht="408" customHeight="1" x14ac:dyDescent="0.25">
      <c r="A140" s="396" t="s">
        <v>24</v>
      </c>
      <c r="B140" s="402" t="s">
        <v>189</v>
      </c>
      <c r="C140" s="61">
        <f>SUM(C142:C146)</f>
        <v>0</v>
      </c>
      <c r="D140" s="61">
        <f>SUM(D142:D146)</f>
        <v>0</v>
      </c>
      <c r="E140" s="61">
        <f>SUM(E142:E146)</f>
        <v>0</v>
      </c>
      <c r="F140" s="404">
        <f>SUM(F142:F146)</f>
        <v>195789.84</v>
      </c>
      <c r="G140" s="404">
        <f>SUM(G142:G146)</f>
        <v>275942.07</v>
      </c>
      <c r="H140" s="404">
        <f t="shared" ref="H140:J140" si="92">SUM(H142:H146)</f>
        <v>74846.64</v>
      </c>
      <c r="I140" s="406">
        <f t="shared" si="79"/>
        <v>0.27</v>
      </c>
      <c r="J140" s="404">
        <f t="shared" si="92"/>
        <v>71033</v>
      </c>
      <c r="K140" s="406">
        <f t="shared" si="80"/>
        <v>0.26</v>
      </c>
      <c r="L140" s="408">
        <f>L142+L143+L144+L145+L146</f>
        <v>272550.53000000003</v>
      </c>
      <c r="M140" s="357"/>
      <c r="N140" s="357"/>
      <c r="O140" s="408">
        <f>SUM(O142:O146)</f>
        <v>3391.54</v>
      </c>
      <c r="P140" s="397" t="s">
        <v>205</v>
      </c>
      <c r="Q140" s="452"/>
    </row>
    <row r="141" spans="1:17" s="302" customFormat="1" ht="57" customHeight="1" x14ac:dyDescent="0.25">
      <c r="A141" s="396"/>
      <c r="B141" s="403"/>
      <c r="C141" s="61"/>
      <c r="D141" s="61"/>
      <c r="E141" s="61"/>
      <c r="F141" s="405"/>
      <c r="G141" s="405"/>
      <c r="H141" s="405"/>
      <c r="I141" s="407"/>
      <c r="J141" s="405"/>
      <c r="K141" s="407"/>
      <c r="L141" s="409"/>
      <c r="M141" s="357"/>
      <c r="N141" s="357"/>
      <c r="O141" s="409"/>
      <c r="P141" s="397"/>
      <c r="Q141" s="452"/>
    </row>
    <row r="142" spans="1:17" s="299" customFormat="1" ht="23.25" customHeight="1" x14ac:dyDescent="0.25">
      <c r="A142" s="396"/>
      <c r="B142" s="346" t="s">
        <v>4</v>
      </c>
      <c r="C142" s="65"/>
      <c r="D142" s="65"/>
      <c r="E142" s="61"/>
      <c r="F142" s="65"/>
      <c r="G142" s="65"/>
      <c r="H142" s="65"/>
      <c r="I142" s="74"/>
      <c r="J142" s="65"/>
      <c r="K142" s="74"/>
      <c r="L142" s="358"/>
      <c r="M142" s="208"/>
      <c r="N142" s="208"/>
      <c r="O142" s="358">
        <f>G142-L142</f>
        <v>0</v>
      </c>
      <c r="P142" s="398"/>
      <c r="Q142" s="452"/>
    </row>
    <row r="143" spans="1:17" s="299" customFormat="1" ht="36.75" customHeight="1" x14ac:dyDescent="0.25">
      <c r="A143" s="396"/>
      <c r="B143" s="346" t="s">
        <v>16</v>
      </c>
      <c r="C143" s="65"/>
      <c r="D143" s="65"/>
      <c r="E143" s="61"/>
      <c r="F143" s="65">
        <v>82288.800000000003</v>
      </c>
      <c r="G143" s="65">
        <v>130308.8</v>
      </c>
      <c r="H143" s="65">
        <v>26177.45</v>
      </c>
      <c r="I143" s="74">
        <f>H143/G143</f>
        <v>0.2</v>
      </c>
      <c r="J143" s="65">
        <v>22363.81</v>
      </c>
      <c r="K143" s="74">
        <f>J143/G143</f>
        <v>0.17</v>
      </c>
      <c r="L143" s="208">
        <f>111045.5+19263.22</f>
        <v>130308.72</v>
      </c>
      <c r="M143" s="208"/>
      <c r="N143" s="208"/>
      <c r="O143" s="241">
        <f>G143-L143</f>
        <v>0.08</v>
      </c>
      <c r="P143" s="398"/>
      <c r="Q143" s="452"/>
    </row>
    <row r="144" spans="1:17" s="299" customFormat="1" ht="30.75" customHeight="1" x14ac:dyDescent="0.25">
      <c r="A144" s="396"/>
      <c r="B144" s="346" t="s">
        <v>11</v>
      </c>
      <c r="C144" s="65"/>
      <c r="D144" s="65"/>
      <c r="E144" s="61"/>
      <c r="F144" s="65">
        <v>1776.95</v>
      </c>
      <c r="G144" s="65">
        <v>33909.18</v>
      </c>
      <c r="H144" s="65">
        <f>J144</f>
        <v>12354.73</v>
      </c>
      <c r="I144" s="74">
        <f>H144/G144</f>
        <v>0.36</v>
      </c>
      <c r="J144" s="65">
        <v>12354.73</v>
      </c>
      <c r="K144" s="74">
        <f>J144/G144</f>
        <v>0.36</v>
      </c>
      <c r="L144" s="208">
        <v>33909.18</v>
      </c>
      <c r="M144" s="208"/>
      <c r="N144" s="208"/>
      <c r="O144" s="241">
        <f>G144-L144</f>
        <v>0</v>
      </c>
      <c r="P144" s="398"/>
      <c r="Q144" s="452"/>
    </row>
    <row r="145" spans="1:17" s="299" customFormat="1" ht="23.25" customHeight="1" x14ac:dyDescent="0.25">
      <c r="A145" s="396"/>
      <c r="B145" s="346" t="s">
        <v>13</v>
      </c>
      <c r="C145" s="65"/>
      <c r="D145" s="65"/>
      <c r="E145" s="65"/>
      <c r="F145" s="65"/>
      <c r="G145" s="65"/>
      <c r="H145" s="336"/>
      <c r="I145" s="74"/>
      <c r="J145" s="336"/>
      <c r="K145" s="74"/>
      <c r="L145" s="208"/>
      <c r="M145" s="208"/>
      <c r="N145" s="208"/>
      <c r="O145" s="208">
        <f>G145-L145</f>
        <v>0</v>
      </c>
      <c r="P145" s="398"/>
      <c r="Q145" s="452"/>
    </row>
    <row r="146" spans="1:17" s="299" customFormat="1" ht="40.5" customHeight="1" x14ac:dyDescent="0.25">
      <c r="A146" s="396"/>
      <c r="B146" s="346" t="s">
        <v>5</v>
      </c>
      <c r="C146" s="65"/>
      <c r="D146" s="65"/>
      <c r="E146" s="65"/>
      <c r="F146" s="65">
        <v>111724.09</v>
      </c>
      <c r="G146" s="65">
        <v>111724.09</v>
      </c>
      <c r="H146" s="65">
        <v>36314.46</v>
      </c>
      <c r="I146" s="74">
        <f t="shared" ref="I146:I152" si="93">H146/G146</f>
        <v>0.33</v>
      </c>
      <c r="J146" s="65">
        <v>36314.46</v>
      </c>
      <c r="K146" s="74">
        <f t="shared" ref="K146:K152" si="94">J146/G146</f>
        <v>0.33</v>
      </c>
      <c r="L146" s="208">
        <v>108332.63</v>
      </c>
      <c r="M146" s="208"/>
      <c r="N146" s="208"/>
      <c r="O146" s="208">
        <f>G146-L146</f>
        <v>3391.46</v>
      </c>
      <c r="P146" s="398"/>
      <c r="Q146" s="452"/>
    </row>
    <row r="147" spans="1:17" s="302" customFormat="1" ht="409.5" customHeight="1" x14ac:dyDescent="0.25">
      <c r="A147" s="438" t="s">
        <v>25</v>
      </c>
      <c r="B147" s="440" t="s">
        <v>195</v>
      </c>
      <c r="C147" s="121"/>
      <c r="D147" s="121"/>
      <c r="E147" s="121"/>
      <c r="F147" s="436">
        <f>F149+F150+F151+F152+F153</f>
        <v>60370.879999999997</v>
      </c>
      <c r="G147" s="436">
        <f>G149+G150+G151+G152+G153</f>
        <v>61670.879999999997</v>
      </c>
      <c r="H147" s="436">
        <f>H149+H150+H151+H152+H153</f>
        <v>45510.51</v>
      </c>
      <c r="I147" s="434">
        <f t="shared" si="93"/>
        <v>0.74</v>
      </c>
      <c r="J147" s="436">
        <f>J149+J150+J151+J152+J153</f>
        <v>40593.1</v>
      </c>
      <c r="K147" s="434">
        <f t="shared" si="94"/>
        <v>0.66</v>
      </c>
      <c r="L147" s="453">
        <f>L149+L150+L151+L152+L153</f>
        <v>59470.19</v>
      </c>
      <c r="M147" s="344">
        <f>M149+M150+M151+M152+M153</f>
        <v>0</v>
      </c>
      <c r="N147" s="344">
        <f>N149+N150+N151+N152+N153</f>
        <v>0</v>
      </c>
      <c r="O147" s="401">
        <f>G147-L147</f>
        <v>2200.69</v>
      </c>
      <c r="P147" s="395" t="s">
        <v>204</v>
      </c>
      <c r="Q147" s="452"/>
    </row>
    <row r="148" spans="1:17" s="302" customFormat="1" ht="178.5" customHeight="1" x14ac:dyDescent="0.25">
      <c r="A148" s="439"/>
      <c r="B148" s="441"/>
      <c r="C148" s="344"/>
      <c r="D148" s="344"/>
      <c r="E148" s="344"/>
      <c r="F148" s="437"/>
      <c r="G148" s="437"/>
      <c r="H148" s="437"/>
      <c r="I148" s="435"/>
      <c r="J148" s="437"/>
      <c r="K148" s="435"/>
      <c r="L148" s="453"/>
      <c r="M148" s="344"/>
      <c r="N148" s="344"/>
      <c r="O148" s="401"/>
      <c r="P148" s="395"/>
      <c r="Q148" s="452"/>
    </row>
    <row r="149" spans="1:17" s="299" customFormat="1" ht="39.75" customHeight="1" x14ac:dyDescent="0.25">
      <c r="A149" s="319"/>
      <c r="B149" s="346" t="s">
        <v>4</v>
      </c>
      <c r="C149" s="121"/>
      <c r="D149" s="121"/>
      <c r="E149" s="121"/>
      <c r="F149" s="125">
        <v>19563.2</v>
      </c>
      <c r="G149" s="125">
        <v>19563.2</v>
      </c>
      <c r="H149" s="125">
        <v>14505.3</v>
      </c>
      <c r="I149" s="130">
        <f>H149/G149</f>
        <v>0.74</v>
      </c>
      <c r="J149" s="125">
        <v>13090.65</v>
      </c>
      <c r="K149" s="130">
        <f t="shared" si="94"/>
        <v>0.67</v>
      </c>
      <c r="L149" s="125">
        <v>19563.2</v>
      </c>
      <c r="M149" s="65"/>
      <c r="N149" s="65"/>
      <c r="O149" s="455">
        <f>G149-L149</f>
        <v>0</v>
      </c>
      <c r="P149" s="395"/>
      <c r="Q149" s="452"/>
    </row>
    <row r="150" spans="1:17" s="299" customFormat="1" ht="39.75" customHeight="1" x14ac:dyDescent="0.25">
      <c r="A150" s="320"/>
      <c r="B150" s="346" t="s">
        <v>16</v>
      </c>
      <c r="C150" s="121"/>
      <c r="D150" s="121"/>
      <c r="E150" s="121"/>
      <c r="F150" s="125">
        <v>19941.2</v>
      </c>
      <c r="G150" s="125">
        <v>21241.200000000001</v>
      </c>
      <c r="H150" s="125">
        <v>15718.45</v>
      </c>
      <c r="I150" s="130">
        <f t="shared" si="93"/>
        <v>0.74</v>
      </c>
      <c r="J150" s="125">
        <v>12215.69</v>
      </c>
      <c r="K150" s="130">
        <f t="shared" si="94"/>
        <v>0.57999999999999996</v>
      </c>
      <c r="L150" s="125">
        <f>1952.11+1100+15988.4</f>
        <v>19040.509999999998</v>
      </c>
      <c r="M150" s="65"/>
      <c r="N150" s="65"/>
      <c r="O150" s="455">
        <f t="shared" ref="O150:O152" si="95">G150-L150</f>
        <v>2200.69</v>
      </c>
      <c r="P150" s="395"/>
      <c r="Q150" s="452"/>
    </row>
    <row r="151" spans="1:17" s="299" customFormat="1" ht="39.75" customHeight="1" x14ac:dyDescent="0.25">
      <c r="A151" s="320"/>
      <c r="B151" s="346" t="s">
        <v>11</v>
      </c>
      <c r="C151" s="121"/>
      <c r="D151" s="121"/>
      <c r="E151" s="121"/>
      <c r="F151" s="125">
        <v>1102.2</v>
      </c>
      <c r="G151" s="125">
        <v>1102.2</v>
      </c>
      <c r="H151" s="125">
        <v>855.4</v>
      </c>
      <c r="I151" s="130">
        <f t="shared" si="93"/>
        <v>0.78</v>
      </c>
      <c r="J151" s="125">
        <v>855.4</v>
      </c>
      <c r="K151" s="130">
        <f t="shared" si="94"/>
        <v>0.78</v>
      </c>
      <c r="L151" s="125">
        <v>1102.2</v>
      </c>
      <c r="M151" s="65"/>
      <c r="N151" s="65"/>
      <c r="O151" s="455">
        <f t="shared" si="95"/>
        <v>0</v>
      </c>
      <c r="P151" s="395"/>
      <c r="Q151" s="452"/>
    </row>
    <row r="152" spans="1:17" s="299" customFormat="1" ht="39.75" customHeight="1" x14ac:dyDescent="0.25">
      <c r="A152" s="320"/>
      <c r="B152" s="346" t="s">
        <v>13</v>
      </c>
      <c r="C152" s="121"/>
      <c r="D152" s="121"/>
      <c r="E152" s="121"/>
      <c r="F152" s="125">
        <v>19764.28</v>
      </c>
      <c r="G152" s="125">
        <v>19764.28</v>
      </c>
      <c r="H152" s="125">
        <f>15286.76-H151</f>
        <v>14431.36</v>
      </c>
      <c r="I152" s="130">
        <f t="shared" si="93"/>
        <v>0.73</v>
      </c>
      <c r="J152" s="125">
        <f>H152</f>
        <v>14431.36</v>
      </c>
      <c r="K152" s="130">
        <f t="shared" si="94"/>
        <v>0.73</v>
      </c>
      <c r="L152" s="125">
        <v>19764.28</v>
      </c>
      <c r="M152" s="65"/>
      <c r="N152" s="65"/>
      <c r="O152" s="455">
        <f t="shared" si="95"/>
        <v>0</v>
      </c>
      <c r="P152" s="395"/>
      <c r="Q152" s="452"/>
    </row>
    <row r="153" spans="1:17" s="299" customFormat="1" ht="39.75" customHeight="1" x14ac:dyDescent="0.25">
      <c r="A153" s="320"/>
      <c r="B153" s="346" t="s">
        <v>5</v>
      </c>
      <c r="C153" s="125"/>
      <c r="D153" s="125"/>
      <c r="E153" s="125"/>
      <c r="F153" s="125"/>
      <c r="G153" s="125"/>
      <c r="H153" s="125"/>
      <c r="I153" s="130"/>
      <c r="J153" s="125"/>
      <c r="K153" s="130"/>
      <c r="L153" s="125"/>
      <c r="M153" s="65"/>
      <c r="N153" s="65"/>
      <c r="O153" s="454"/>
      <c r="P153" s="395"/>
      <c r="Q153" s="452"/>
    </row>
    <row r="154" spans="1:17" s="302" customFormat="1" ht="111" customHeight="1" x14ac:dyDescent="0.25">
      <c r="A154" s="364" t="s">
        <v>26</v>
      </c>
      <c r="B154" s="349" t="s">
        <v>106</v>
      </c>
      <c r="C154" s="61"/>
      <c r="D154" s="61"/>
      <c r="E154" s="61"/>
      <c r="F154" s="107"/>
      <c r="G154" s="107"/>
      <c r="H154" s="107"/>
      <c r="I154" s="108"/>
      <c r="J154" s="107"/>
      <c r="K154" s="108"/>
      <c r="L154" s="108"/>
      <c r="M154" s="70"/>
      <c r="N154" s="70"/>
      <c r="O154" s="70"/>
      <c r="P154" s="337" t="s">
        <v>124</v>
      </c>
      <c r="Q154" s="452"/>
    </row>
    <row r="155" spans="1:17" s="302" customFormat="1" x14ac:dyDescent="0.25">
      <c r="A155" s="364"/>
      <c r="B155" s="346" t="s">
        <v>4</v>
      </c>
      <c r="C155" s="61"/>
      <c r="D155" s="61"/>
      <c r="E155" s="61"/>
      <c r="F155" s="107"/>
      <c r="G155" s="107"/>
      <c r="H155" s="107"/>
      <c r="I155" s="108"/>
      <c r="J155" s="107"/>
      <c r="K155" s="108"/>
      <c r="L155" s="108"/>
      <c r="M155" s="70"/>
      <c r="N155" s="70"/>
      <c r="O155" s="70"/>
      <c r="P155" s="337"/>
      <c r="Q155" s="452"/>
    </row>
    <row r="156" spans="1:17" s="302" customFormat="1" x14ac:dyDescent="0.25">
      <c r="A156" s="364"/>
      <c r="B156" s="346" t="s">
        <v>16</v>
      </c>
      <c r="C156" s="61"/>
      <c r="D156" s="61"/>
      <c r="E156" s="61"/>
      <c r="F156" s="107"/>
      <c r="G156" s="107"/>
      <c r="H156" s="107"/>
      <c r="I156" s="108"/>
      <c r="J156" s="107"/>
      <c r="K156" s="108"/>
      <c r="L156" s="108"/>
      <c r="M156" s="70"/>
      <c r="N156" s="70"/>
      <c r="O156" s="70"/>
      <c r="P156" s="337"/>
      <c r="Q156" s="452"/>
    </row>
    <row r="157" spans="1:17" s="302" customFormat="1" x14ac:dyDescent="0.25">
      <c r="A157" s="364"/>
      <c r="B157" s="346" t="s">
        <v>11</v>
      </c>
      <c r="C157" s="61"/>
      <c r="D157" s="61"/>
      <c r="E157" s="61"/>
      <c r="F157" s="107"/>
      <c r="G157" s="107"/>
      <c r="H157" s="107"/>
      <c r="I157" s="108"/>
      <c r="J157" s="107"/>
      <c r="K157" s="108"/>
      <c r="L157" s="108"/>
      <c r="M157" s="70"/>
      <c r="N157" s="70"/>
      <c r="O157" s="70"/>
      <c r="P157" s="337"/>
      <c r="Q157" s="452"/>
    </row>
    <row r="158" spans="1:17" s="302" customFormat="1" x14ac:dyDescent="0.25">
      <c r="A158" s="364"/>
      <c r="B158" s="346" t="s">
        <v>13</v>
      </c>
      <c r="C158" s="61"/>
      <c r="D158" s="61"/>
      <c r="E158" s="61"/>
      <c r="F158" s="107"/>
      <c r="G158" s="107"/>
      <c r="H158" s="107"/>
      <c r="I158" s="108"/>
      <c r="J158" s="107"/>
      <c r="K158" s="108"/>
      <c r="L158" s="108"/>
      <c r="M158" s="70"/>
      <c r="N158" s="70"/>
      <c r="O158" s="70"/>
      <c r="P158" s="337"/>
      <c r="Q158" s="452"/>
    </row>
    <row r="159" spans="1:17" s="302" customFormat="1" x14ac:dyDescent="0.25">
      <c r="A159" s="364"/>
      <c r="B159" s="346" t="s">
        <v>5</v>
      </c>
      <c r="C159" s="61"/>
      <c r="D159" s="61"/>
      <c r="E159" s="61"/>
      <c r="F159" s="107"/>
      <c r="G159" s="107"/>
      <c r="H159" s="107"/>
      <c r="I159" s="108"/>
      <c r="J159" s="107"/>
      <c r="K159" s="108"/>
      <c r="L159" s="108"/>
      <c r="M159" s="70"/>
      <c r="N159" s="70"/>
      <c r="O159" s="70"/>
      <c r="P159" s="337"/>
      <c r="Q159" s="452"/>
    </row>
    <row r="160" spans="1:17" s="303" customFormat="1" ht="164.25" customHeight="1" x14ac:dyDescent="0.25">
      <c r="A160" s="364" t="s">
        <v>27</v>
      </c>
      <c r="B160" s="349" t="s">
        <v>107</v>
      </c>
      <c r="C160" s="61"/>
      <c r="D160" s="61"/>
      <c r="E160" s="61"/>
      <c r="F160" s="107"/>
      <c r="G160" s="107"/>
      <c r="H160" s="107"/>
      <c r="I160" s="108"/>
      <c r="J160" s="107"/>
      <c r="K160" s="108"/>
      <c r="L160" s="108"/>
      <c r="M160" s="70"/>
      <c r="N160" s="70"/>
      <c r="O160" s="70"/>
      <c r="P160" s="337" t="s">
        <v>124</v>
      </c>
      <c r="Q160" s="452"/>
    </row>
    <row r="161" spans="1:17" s="303" customFormat="1" ht="52.5" customHeight="1" x14ac:dyDescent="0.25">
      <c r="A161" s="364"/>
      <c r="B161" s="346" t="s">
        <v>4</v>
      </c>
      <c r="C161" s="61"/>
      <c r="D161" s="61"/>
      <c r="E161" s="61"/>
      <c r="F161" s="107"/>
      <c r="G161" s="107"/>
      <c r="H161" s="107"/>
      <c r="I161" s="108"/>
      <c r="J161" s="107"/>
      <c r="K161" s="108"/>
      <c r="L161" s="108"/>
      <c r="M161" s="70"/>
      <c r="N161" s="70"/>
      <c r="O161" s="70"/>
      <c r="P161" s="337"/>
      <c r="Q161" s="452"/>
    </row>
    <row r="162" spans="1:17" s="303" customFormat="1" ht="52.5" customHeight="1" x14ac:dyDescent="0.25">
      <c r="A162" s="364"/>
      <c r="B162" s="346" t="s">
        <v>16</v>
      </c>
      <c r="C162" s="61"/>
      <c r="D162" s="61"/>
      <c r="E162" s="61"/>
      <c r="F162" s="107"/>
      <c r="G162" s="107"/>
      <c r="H162" s="107"/>
      <c r="I162" s="108"/>
      <c r="J162" s="107"/>
      <c r="K162" s="108"/>
      <c r="L162" s="108"/>
      <c r="M162" s="70"/>
      <c r="N162" s="70"/>
      <c r="O162" s="70"/>
      <c r="P162" s="337"/>
      <c r="Q162" s="452"/>
    </row>
    <row r="163" spans="1:17" s="303" customFormat="1" ht="58.5" customHeight="1" x14ac:dyDescent="0.25">
      <c r="A163" s="364"/>
      <c r="B163" s="346" t="s">
        <v>11</v>
      </c>
      <c r="C163" s="61"/>
      <c r="D163" s="61"/>
      <c r="E163" s="61"/>
      <c r="F163" s="107"/>
      <c r="G163" s="107"/>
      <c r="H163" s="107"/>
      <c r="I163" s="108"/>
      <c r="J163" s="107"/>
      <c r="K163" s="108"/>
      <c r="L163" s="108"/>
      <c r="M163" s="70"/>
      <c r="N163" s="70"/>
      <c r="O163" s="70"/>
      <c r="P163" s="337"/>
      <c r="Q163" s="452"/>
    </row>
    <row r="164" spans="1:17" s="303" customFormat="1" ht="54.75" customHeight="1" x14ac:dyDescent="0.25">
      <c r="A164" s="364"/>
      <c r="B164" s="346" t="s">
        <v>13</v>
      </c>
      <c r="C164" s="61"/>
      <c r="D164" s="61"/>
      <c r="E164" s="61"/>
      <c r="F164" s="107"/>
      <c r="G164" s="107"/>
      <c r="H164" s="107"/>
      <c r="I164" s="108"/>
      <c r="J164" s="107"/>
      <c r="K164" s="108"/>
      <c r="L164" s="108"/>
      <c r="M164" s="70"/>
      <c r="N164" s="70"/>
      <c r="O164" s="70"/>
      <c r="P164" s="337"/>
      <c r="Q164" s="452"/>
    </row>
    <row r="165" spans="1:17" s="303" customFormat="1" ht="54.75" customHeight="1" x14ac:dyDescent="0.25">
      <c r="A165" s="364"/>
      <c r="B165" s="346" t="s">
        <v>5</v>
      </c>
      <c r="C165" s="61"/>
      <c r="D165" s="61"/>
      <c r="E165" s="61"/>
      <c r="F165" s="107"/>
      <c r="G165" s="107"/>
      <c r="H165" s="107"/>
      <c r="I165" s="108"/>
      <c r="J165" s="107"/>
      <c r="K165" s="108"/>
      <c r="L165" s="108"/>
      <c r="M165" s="70"/>
      <c r="N165" s="70"/>
      <c r="O165" s="70"/>
      <c r="P165" s="337"/>
      <c r="Q165" s="452"/>
    </row>
    <row r="166" spans="1:17" s="302" customFormat="1" ht="408.75" customHeight="1" x14ac:dyDescent="0.25">
      <c r="A166" s="364" t="s">
        <v>28</v>
      </c>
      <c r="B166" s="349" t="s">
        <v>196</v>
      </c>
      <c r="C166" s="61" t="e">
        <f>SUM(C167:C171)</f>
        <v>#REF!</v>
      </c>
      <c r="D166" s="61" t="e">
        <f>SUM(D167:D171)</f>
        <v>#REF!</v>
      </c>
      <c r="E166" s="61">
        <v>0</v>
      </c>
      <c r="F166" s="61">
        <f>F168+F167+F169+F170+F171</f>
        <v>142882.93</v>
      </c>
      <c r="G166" s="61">
        <f t="shared" ref="G166:O166" si="96">G168+G167+G169+G170+G171</f>
        <v>142882.93</v>
      </c>
      <c r="H166" s="61">
        <f t="shared" si="96"/>
        <v>127200.98</v>
      </c>
      <c r="I166" s="74">
        <f>H166/G166</f>
        <v>0.89</v>
      </c>
      <c r="J166" s="61">
        <f>J168+J167+J169+J170+J171</f>
        <v>111009.67</v>
      </c>
      <c r="K166" s="74">
        <f t="shared" ref="K166:K169" si="97">J166/G166</f>
        <v>0.78</v>
      </c>
      <c r="L166" s="61">
        <f t="shared" si="96"/>
        <v>142882.93</v>
      </c>
      <c r="M166" s="61">
        <f t="shared" si="96"/>
        <v>0</v>
      </c>
      <c r="N166" s="61">
        <f t="shared" si="96"/>
        <v>0</v>
      </c>
      <c r="O166" s="61">
        <f t="shared" si="96"/>
        <v>0</v>
      </c>
      <c r="P166" s="400" t="s">
        <v>221</v>
      </c>
      <c r="Q166" s="452"/>
    </row>
    <row r="167" spans="1:17" s="299" customFormat="1" ht="86.25" customHeight="1" x14ac:dyDescent="0.25">
      <c r="A167" s="321"/>
      <c r="B167" s="346" t="s">
        <v>4</v>
      </c>
      <c r="C167" s="65"/>
      <c r="D167" s="65"/>
      <c r="E167" s="65"/>
      <c r="F167" s="89"/>
      <c r="G167" s="89"/>
      <c r="H167" s="89"/>
      <c r="I167" s="90"/>
      <c r="J167" s="89"/>
      <c r="K167" s="90"/>
      <c r="L167" s="89"/>
      <c r="M167" s="65"/>
      <c r="N167" s="65"/>
      <c r="O167" s="65"/>
      <c r="P167" s="400"/>
      <c r="Q167" s="452"/>
    </row>
    <row r="168" spans="1:17" s="299" customFormat="1" ht="105" customHeight="1" x14ac:dyDescent="0.25">
      <c r="A168" s="321"/>
      <c r="B168" s="346" t="s">
        <v>16</v>
      </c>
      <c r="C168" s="65"/>
      <c r="D168" s="65"/>
      <c r="E168" s="65"/>
      <c r="F168" s="125">
        <v>128460.67</v>
      </c>
      <c r="G168" s="125">
        <v>128460.67</v>
      </c>
      <c r="H168" s="125">
        <v>120145.02</v>
      </c>
      <c r="I168" s="74">
        <f>H168/G168</f>
        <v>0.94</v>
      </c>
      <c r="J168" s="125">
        <v>103953.71</v>
      </c>
      <c r="K168" s="74">
        <f t="shared" si="97"/>
        <v>0.81</v>
      </c>
      <c r="L168" s="125">
        <f>F168</f>
        <v>128460.67</v>
      </c>
      <c r="M168" s="65"/>
      <c r="N168" s="65"/>
      <c r="O168" s="147">
        <f>G168-L168</f>
        <v>0</v>
      </c>
      <c r="P168" s="400"/>
      <c r="Q168" s="452"/>
    </row>
    <row r="169" spans="1:17" s="299" customFormat="1" ht="105" customHeight="1" x14ac:dyDescent="0.25">
      <c r="A169" s="321"/>
      <c r="B169" s="346" t="s">
        <v>11</v>
      </c>
      <c r="C169" s="65" t="e">
        <f>#REF!</f>
        <v>#REF!</v>
      </c>
      <c r="D169" s="65" t="e">
        <f>#REF!</f>
        <v>#REF!</v>
      </c>
      <c r="E169" s="65" t="e">
        <f>#REF!</f>
        <v>#REF!</v>
      </c>
      <c r="F169" s="65">
        <v>10550.48</v>
      </c>
      <c r="G169" s="65">
        <f>F169</f>
        <v>10550.48</v>
      </c>
      <c r="H169" s="65">
        <f>J169</f>
        <v>4076.59</v>
      </c>
      <c r="I169" s="130">
        <f t="shared" ref="I169" si="98">H169/G169</f>
        <v>0.39</v>
      </c>
      <c r="J169" s="65">
        <f>1891.21+2185.38</f>
        <v>4076.59</v>
      </c>
      <c r="K169" s="74">
        <f t="shared" si="97"/>
        <v>0.39</v>
      </c>
      <c r="L169" s="125">
        <f>F169</f>
        <v>10550.48</v>
      </c>
      <c r="M169" s="65"/>
      <c r="N169" s="65"/>
      <c r="O169" s="147">
        <f>G169-L169</f>
        <v>0</v>
      </c>
      <c r="P169" s="400"/>
      <c r="Q169" s="452"/>
    </row>
    <row r="170" spans="1:17" s="299" customFormat="1" ht="105" customHeight="1" x14ac:dyDescent="0.25">
      <c r="A170" s="321"/>
      <c r="B170" s="346" t="s">
        <v>13</v>
      </c>
      <c r="C170" s="65"/>
      <c r="D170" s="65"/>
      <c r="E170" s="65"/>
      <c r="F170" s="65">
        <v>3871.78</v>
      </c>
      <c r="G170" s="65">
        <f>F170</f>
        <v>3871.78</v>
      </c>
      <c r="H170" s="65">
        <f>J170</f>
        <v>2979.37</v>
      </c>
      <c r="I170" s="130">
        <f>H170/G170</f>
        <v>0.77</v>
      </c>
      <c r="J170" s="65">
        <f>7055.96-J169</f>
        <v>2979.37</v>
      </c>
      <c r="K170" s="74">
        <f>J170/G170</f>
        <v>0.77</v>
      </c>
      <c r="L170" s="125">
        <f>F170</f>
        <v>3871.78</v>
      </c>
      <c r="M170" s="65"/>
      <c r="N170" s="65"/>
      <c r="O170" s="147">
        <f>G170-L170</f>
        <v>0</v>
      </c>
      <c r="P170" s="400"/>
      <c r="Q170" s="452"/>
    </row>
    <row r="171" spans="1:17" s="299" customFormat="1" ht="92.25" customHeight="1" x14ac:dyDescent="0.25">
      <c r="A171" s="321"/>
      <c r="B171" s="346" t="s">
        <v>5</v>
      </c>
      <c r="C171" s="65"/>
      <c r="D171" s="65"/>
      <c r="E171" s="65"/>
      <c r="F171" s="65"/>
      <c r="G171" s="65"/>
      <c r="H171" s="65"/>
      <c r="I171" s="74"/>
      <c r="J171" s="65"/>
      <c r="K171" s="74"/>
      <c r="L171" s="65"/>
      <c r="M171" s="65"/>
      <c r="N171" s="65"/>
      <c r="O171" s="65"/>
      <c r="P171" s="400"/>
      <c r="Q171" s="452"/>
    </row>
    <row r="172" spans="1:17" s="58" customFormat="1" ht="93.75" customHeight="1" x14ac:dyDescent="0.25">
      <c r="A172" s="364" t="s">
        <v>29</v>
      </c>
      <c r="B172" s="349" t="s">
        <v>109</v>
      </c>
      <c r="C172" s="61" t="e">
        <f>#REF!+#REF!+#REF!+#REF!+#REF!</f>
        <v>#REF!</v>
      </c>
      <c r="D172" s="61" t="e">
        <f>#REF!+#REF!+#REF!+#REF!+#REF!</f>
        <v>#REF!</v>
      </c>
      <c r="E172" s="61" t="e">
        <f>#REF!+#REF!+#REF!+#REF!+#REF!</f>
        <v>#REF!</v>
      </c>
      <c r="F172" s="107"/>
      <c r="G172" s="107"/>
      <c r="H172" s="115"/>
      <c r="I172" s="133"/>
      <c r="J172" s="134"/>
      <c r="K172" s="133"/>
      <c r="L172" s="133"/>
      <c r="M172" s="70"/>
      <c r="N172" s="70"/>
      <c r="O172" s="70"/>
      <c r="P172" s="326" t="s">
        <v>124</v>
      </c>
      <c r="Q172" s="452"/>
    </row>
    <row r="173" spans="1:17" ht="139.5" customHeight="1" x14ac:dyDescent="0.4">
      <c r="A173" s="364" t="s">
        <v>30</v>
      </c>
      <c r="B173" s="349" t="s">
        <v>197</v>
      </c>
      <c r="C173" s="61" t="e">
        <f>SUM(C174:C178)</f>
        <v>#REF!</v>
      </c>
      <c r="D173" s="61" t="e">
        <f>SUM(D174:D178)</f>
        <v>#REF!</v>
      </c>
      <c r="E173" s="61" t="e">
        <f>SUM(E174:E178)</f>
        <v>#REF!</v>
      </c>
      <c r="F173" s="61">
        <f>SUM(F174:F178)</f>
        <v>617623.30000000005</v>
      </c>
      <c r="G173" s="61">
        <f t="shared" ref="G173:N173" si="99">SUM(G174:G178)</f>
        <v>617623.30000000005</v>
      </c>
      <c r="H173" s="61">
        <f t="shared" si="99"/>
        <v>237198.92</v>
      </c>
      <c r="I173" s="174">
        <f>H173/G173</f>
        <v>0.38</v>
      </c>
      <c r="J173" s="61">
        <f t="shared" si="99"/>
        <v>237198.92</v>
      </c>
      <c r="K173" s="174">
        <f>J173/G173</f>
        <v>0.38</v>
      </c>
      <c r="L173" s="61">
        <f t="shared" si="99"/>
        <v>617623.29</v>
      </c>
      <c r="M173" s="61">
        <f t="shared" si="99"/>
        <v>0</v>
      </c>
      <c r="N173" s="61">
        <f t="shared" si="99"/>
        <v>0</v>
      </c>
      <c r="O173" s="61">
        <f>G173-J173</f>
        <v>380424.38</v>
      </c>
      <c r="P173" s="399" t="s">
        <v>202</v>
      </c>
      <c r="Q173" s="452"/>
    </row>
    <row r="174" spans="1:17" ht="48.75" customHeight="1" x14ac:dyDescent="0.4">
      <c r="A174" s="364"/>
      <c r="B174" s="346" t="s">
        <v>4</v>
      </c>
      <c r="C174" s="65" t="e">
        <f>#REF!</f>
        <v>#REF!</v>
      </c>
      <c r="D174" s="65" t="e">
        <f>#REF!</f>
        <v>#REF!</v>
      </c>
      <c r="E174" s="65" t="e">
        <f>#REF!</f>
        <v>#REF!</v>
      </c>
      <c r="F174" s="65"/>
      <c r="G174" s="65"/>
      <c r="H174" s="65"/>
      <c r="I174" s="74"/>
      <c r="J174" s="65"/>
      <c r="K174" s="74"/>
      <c r="L174" s="65"/>
      <c r="M174" s="74"/>
      <c r="N174" s="74"/>
      <c r="O174" s="61">
        <f t="shared" ref="O174" si="100">G174-J174</f>
        <v>0</v>
      </c>
      <c r="P174" s="399"/>
      <c r="Q174" s="452"/>
    </row>
    <row r="175" spans="1:17" x14ac:dyDescent="0.4">
      <c r="A175" s="364"/>
      <c r="B175" s="346" t="s">
        <v>16</v>
      </c>
      <c r="C175" s="65"/>
      <c r="D175" s="65"/>
      <c r="E175" s="65"/>
      <c r="F175" s="65">
        <v>583483.6</v>
      </c>
      <c r="G175" s="65">
        <v>583483.6</v>
      </c>
      <c r="H175" s="65">
        <v>217211.87</v>
      </c>
      <c r="I175" s="74">
        <f>H175/G175</f>
        <v>0.37</v>
      </c>
      <c r="J175" s="65">
        <v>217211.87</v>
      </c>
      <c r="K175" s="74">
        <f>J175/G175</f>
        <v>0.37</v>
      </c>
      <c r="L175" s="65">
        <f>243392.5+340091.1</f>
        <v>583483.6</v>
      </c>
      <c r="M175" s="74"/>
      <c r="N175" s="74"/>
      <c r="O175" s="65">
        <f>G175-L175</f>
        <v>0</v>
      </c>
      <c r="P175" s="399"/>
      <c r="Q175" s="452"/>
    </row>
    <row r="176" spans="1:17" x14ac:dyDescent="0.4">
      <c r="A176" s="364"/>
      <c r="B176" s="346" t="s">
        <v>11</v>
      </c>
      <c r="C176" s="65"/>
      <c r="D176" s="65"/>
      <c r="E176" s="65"/>
      <c r="F176" s="65">
        <f>34139.7-F177</f>
        <v>30090.02</v>
      </c>
      <c r="G176" s="65">
        <f>34139.7-G177</f>
        <v>30090.02</v>
      </c>
      <c r="H176" s="65">
        <v>19987.05</v>
      </c>
      <c r="I176" s="74">
        <f>H176/G176</f>
        <v>0.66</v>
      </c>
      <c r="J176" s="65">
        <f>7023.75+12963.3</f>
        <v>19987.05</v>
      </c>
      <c r="K176" s="74">
        <f>J176/G176</f>
        <v>0.66</v>
      </c>
      <c r="L176" s="65">
        <f>16237.41+13852.6</f>
        <v>30090.01</v>
      </c>
      <c r="M176" s="74"/>
      <c r="N176" s="74"/>
      <c r="O176" s="65">
        <f>G176-L176</f>
        <v>0.01</v>
      </c>
      <c r="P176" s="399"/>
      <c r="Q176" s="452"/>
    </row>
    <row r="177" spans="1:17" x14ac:dyDescent="0.4">
      <c r="A177" s="364"/>
      <c r="B177" s="346" t="s">
        <v>13</v>
      </c>
      <c r="C177" s="65"/>
      <c r="D177" s="65"/>
      <c r="E177" s="65"/>
      <c r="F177" s="65">
        <v>4049.68</v>
      </c>
      <c r="G177" s="65">
        <v>4049.68</v>
      </c>
      <c r="H177" s="65"/>
      <c r="I177" s="74"/>
      <c r="J177" s="65"/>
      <c r="K177" s="74"/>
      <c r="L177" s="65">
        <v>4049.68</v>
      </c>
      <c r="M177" s="74"/>
      <c r="N177" s="74"/>
      <c r="O177" s="147">
        <f t="shared" ref="O177" si="101">G177-L177</f>
        <v>0</v>
      </c>
      <c r="P177" s="399"/>
      <c r="Q177" s="452"/>
    </row>
    <row r="178" spans="1:17" x14ac:dyDescent="0.4">
      <c r="A178" s="364"/>
      <c r="B178" s="346" t="s">
        <v>5</v>
      </c>
      <c r="C178" s="65" t="e">
        <f>#REF!</f>
        <v>#REF!</v>
      </c>
      <c r="D178" s="65" t="e">
        <f>#REF!</f>
        <v>#REF!</v>
      </c>
      <c r="E178" s="65" t="e">
        <f>#REF!</f>
        <v>#REF!</v>
      </c>
      <c r="F178" s="65"/>
      <c r="G178" s="65"/>
      <c r="H178" s="65"/>
      <c r="I178" s="74"/>
      <c r="J178" s="65"/>
      <c r="K178" s="74"/>
      <c r="L178" s="65"/>
      <c r="M178" s="74"/>
      <c r="N178" s="74"/>
      <c r="O178" s="65"/>
      <c r="P178" s="399"/>
      <c r="Q178" s="452"/>
    </row>
    <row r="179" spans="1:17" s="316" customFormat="1" ht="90.75" customHeight="1" x14ac:dyDescent="0.25">
      <c r="A179" s="364" t="s">
        <v>31</v>
      </c>
      <c r="B179" s="349" t="s">
        <v>111</v>
      </c>
      <c r="C179" s="61" t="e">
        <f>#REF!+#REF!+#REF!+#REF!+#REF!</f>
        <v>#REF!</v>
      </c>
      <c r="D179" s="61" t="e">
        <f>#REF!+#REF!+#REF!+#REF!+#REF!</f>
        <v>#REF!</v>
      </c>
      <c r="E179" s="61" t="e">
        <f>#REF!+#REF!+#REF!+#REF!+#REF!</f>
        <v>#REF!</v>
      </c>
      <c r="F179" s="107"/>
      <c r="G179" s="107"/>
      <c r="H179" s="115"/>
      <c r="I179" s="133"/>
      <c r="J179" s="134"/>
      <c r="K179" s="133"/>
      <c r="L179" s="133"/>
      <c r="M179" s="70"/>
      <c r="N179" s="70"/>
      <c r="O179" s="70"/>
      <c r="P179" s="326" t="s">
        <v>124</v>
      </c>
      <c r="Q179" s="452"/>
    </row>
    <row r="180" spans="1:17" s="58" customFormat="1" ht="288.75" customHeight="1" x14ac:dyDescent="0.25">
      <c r="A180" s="364" t="s">
        <v>47</v>
      </c>
      <c r="B180" s="349" t="s">
        <v>198</v>
      </c>
      <c r="C180" s="61" t="e">
        <f>C181+C185+#REF!+#REF!+#REF!</f>
        <v>#REF!</v>
      </c>
      <c r="D180" s="61" t="e">
        <f>D181+D185+#REF!+#REF!+#REF!</f>
        <v>#REF!</v>
      </c>
      <c r="E180" s="61" t="e">
        <f>E181+E185+#REF!+#REF!+#REF!</f>
        <v>#REF!</v>
      </c>
      <c r="F180" s="61">
        <f>F181+F182+F183</f>
        <v>58377.41</v>
      </c>
      <c r="G180" s="61">
        <f t="shared" ref="G180:H180" si="102">G181+G182+G183</f>
        <v>132213.9</v>
      </c>
      <c r="H180" s="61">
        <f t="shared" si="102"/>
        <v>55715.25</v>
      </c>
      <c r="I180" s="70"/>
      <c r="J180" s="61">
        <f>J181+J182+J183</f>
        <v>51804.5</v>
      </c>
      <c r="K180" s="70"/>
      <c r="L180" s="61">
        <f>L181+L182+L183</f>
        <v>108192.61</v>
      </c>
      <c r="M180" s="61">
        <f t="shared" ref="M180:N180" si="103">M181+M182+M183</f>
        <v>0</v>
      </c>
      <c r="N180" s="61">
        <f t="shared" si="103"/>
        <v>0</v>
      </c>
      <c r="O180" s="61">
        <f>O181+O182+O183</f>
        <v>24021.29</v>
      </c>
      <c r="P180" s="392" t="s">
        <v>222</v>
      </c>
      <c r="Q180" s="452"/>
    </row>
    <row r="181" spans="1:17" s="299" customFormat="1" ht="34.5" customHeight="1" x14ac:dyDescent="0.25">
      <c r="A181" s="328"/>
      <c r="B181" s="346" t="s">
        <v>4</v>
      </c>
      <c r="C181" s="65" t="e">
        <f>#REF!+#REF!</f>
        <v>#REF!</v>
      </c>
      <c r="D181" s="65" t="e">
        <f>#REF!+#REF!</f>
        <v>#REF!</v>
      </c>
      <c r="E181" s="65" t="e">
        <f>#REF!+#REF!</f>
        <v>#REF!</v>
      </c>
      <c r="F181" s="65"/>
      <c r="G181" s="65"/>
      <c r="H181" s="65"/>
      <c r="I181" s="74"/>
      <c r="J181" s="65"/>
      <c r="K181" s="74"/>
      <c r="L181" s="65"/>
      <c r="M181" s="65"/>
      <c r="N181" s="65"/>
      <c r="O181" s="65">
        <f>H181-L181</f>
        <v>0</v>
      </c>
      <c r="P181" s="393"/>
      <c r="Q181" s="452"/>
    </row>
    <row r="182" spans="1:17" s="299" customFormat="1" ht="34.5" customHeight="1" x14ac:dyDescent="0.25">
      <c r="A182" s="328"/>
      <c r="B182" s="346" t="s">
        <v>16</v>
      </c>
      <c r="C182" s="65"/>
      <c r="D182" s="65"/>
      <c r="E182" s="65"/>
      <c r="F182" s="65">
        <v>57382.9</v>
      </c>
      <c r="G182" s="65">
        <v>127527.6</v>
      </c>
      <c r="H182" s="65">
        <v>53862.3</v>
      </c>
      <c r="I182" s="74">
        <f>H182/G182</f>
        <v>0.42</v>
      </c>
      <c r="J182" s="65">
        <v>49951.55</v>
      </c>
      <c r="K182" s="74">
        <f>J182/G182</f>
        <v>0.39</v>
      </c>
      <c r="L182" s="65">
        <f>26909.12+6902.57+23906.4+46238.3</f>
        <v>103956.39</v>
      </c>
      <c r="M182" s="65"/>
      <c r="N182" s="65"/>
      <c r="O182" s="65">
        <f>G182-L182</f>
        <v>23571.21</v>
      </c>
      <c r="P182" s="393"/>
      <c r="Q182" s="452"/>
    </row>
    <row r="183" spans="1:17" s="299" customFormat="1" ht="34.5" customHeight="1" x14ac:dyDescent="0.25">
      <c r="A183" s="328"/>
      <c r="B183" s="346" t="s">
        <v>11</v>
      </c>
      <c r="C183" s="65"/>
      <c r="D183" s="65"/>
      <c r="E183" s="65"/>
      <c r="F183" s="65">
        <v>994.51</v>
      </c>
      <c r="G183" s="65">
        <v>4686.3</v>
      </c>
      <c r="H183" s="65">
        <v>1852.95</v>
      </c>
      <c r="I183" s="74">
        <f>H183/G183</f>
        <v>0.4</v>
      </c>
      <c r="J183" s="65">
        <v>1852.95</v>
      </c>
      <c r="K183" s="74">
        <f>J183/G183</f>
        <v>0.4</v>
      </c>
      <c r="L183" s="65">
        <f>318.65+225.78+1258.23+2433.56</f>
        <v>4236.22</v>
      </c>
      <c r="M183" s="65"/>
      <c r="N183" s="65"/>
      <c r="O183" s="65">
        <f>G183-L183</f>
        <v>450.08</v>
      </c>
      <c r="P183" s="393"/>
      <c r="Q183" s="452"/>
    </row>
    <row r="184" spans="1:17" s="299" customFormat="1" ht="34.5" customHeight="1" x14ac:dyDescent="0.25">
      <c r="A184" s="328"/>
      <c r="B184" s="346" t="s">
        <v>13</v>
      </c>
      <c r="C184" s="65"/>
      <c r="D184" s="65"/>
      <c r="E184" s="65"/>
      <c r="F184" s="65"/>
      <c r="G184" s="65"/>
      <c r="H184" s="65"/>
      <c r="I184" s="74"/>
      <c r="J184" s="65"/>
      <c r="K184" s="74"/>
      <c r="L184" s="65"/>
      <c r="M184" s="65"/>
      <c r="N184" s="65"/>
      <c r="O184" s="65">
        <f>H184-L184</f>
        <v>0</v>
      </c>
      <c r="P184" s="393"/>
      <c r="Q184" s="452"/>
    </row>
    <row r="185" spans="1:17" s="299" customFormat="1" ht="291" customHeight="1" x14ac:dyDescent="0.25">
      <c r="A185" s="328"/>
      <c r="B185" s="346" t="s">
        <v>5</v>
      </c>
      <c r="C185" s="65"/>
      <c r="D185" s="65"/>
      <c r="E185" s="65"/>
      <c r="F185" s="65"/>
      <c r="G185" s="65"/>
      <c r="H185" s="65"/>
      <c r="I185" s="74"/>
      <c r="J185" s="65"/>
      <c r="K185" s="74"/>
      <c r="L185" s="65"/>
      <c r="M185" s="65"/>
      <c r="N185" s="65"/>
      <c r="O185" s="65">
        <f>H185-L185</f>
        <v>0</v>
      </c>
      <c r="P185" s="394"/>
      <c r="Q185" s="452"/>
    </row>
    <row r="186" spans="1:17" s="301" customFormat="1" ht="101.25" customHeight="1" x14ac:dyDescent="0.25">
      <c r="A186" s="364" t="s">
        <v>46</v>
      </c>
      <c r="B186" s="349" t="s">
        <v>113</v>
      </c>
      <c r="C186" s="61"/>
      <c r="D186" s="61"/>
      <c r="E186" s="61"/>
      <c r="F186" s="107"/>
      <c r="G186" s="107"/>
      <c r="H186" s="107"/>
      <c r="I186" s="108"/>
      <c r="J186" s="107"/>
      <c r="K186" s="108"/>
      <c r="L186" s="108"/>
      <c r="M186" s="70"/>
      <c r="N186" s="70"/>
      <c r="O186" s="70"/>
      <c r="P186" s="326" t="s">
        <v>124</v>
      </c>
    </row>
    <row r="187" spans="1:17" s="301" customFormat="1" ht="108.75" customHeight="1" x14ac:dyDescent="0.25">
      <c r="A187" s="364" t="s">
        <v>32</v>
      </c>
      <c r="B187" s="349" t="s">
        <v>114</v>
      </c>
      <c r="C187" s="61"/>
      <c r="D187" s="61"/>
      <c r="E187" s="61"/>
      <c r="F187" s="107"/>
      <c r="G187" s="107"/>
      <c r="H187" s="107"/>
      <c r="I187" s="108"/>
      <c r="J187" s="107"/>
      <c r="K187" s="108"/>
      <c r="L187" s="108"/>
      <c r="M187" s="70"/>
      <c r="N187" s="70"/>
      <c r="O187" s="70"/>
      <c r="P187" s="326" t="s">
        <v>124</v>
      </c>
    </row>
    <row r="188" spans="1:17" s="301" customFormat="1" ht="102" customHeight="1" x14ac:dyDescent="0.25">
      <c r="A188" s="364" t="s">
        <v>118</v>
      </c>
      <c r="B188" s="349" t="s">
        <v>115</v>
      </c>
      <c r="C188" s="61" t="e">
        <f>#REF!+#REF!+#REF!+#REF!+#REF!</f>
        <v>#REF!</v>
      </c>
      <c r="D188" s="61" t="e">
        <f>#REF!+#REF!+#REF!+#REF!+#REF!</f>
        <v>#REF!</v>
      </c>
      <c r="E188" s="61" t="e">
        <f>#REF!+#REF!+#REF!+#REF!+#REF!</f>
        <v>#REF!</v>
      </c>
      <c r="F188" s="107"/>
      <c r="G188" s="107"/>
      <c r="H188" s="115"/>
      <c r="I188" s="108"/>
      <c r="J188" s="107"/>
      <c r="K188" s="108"/>
      <c r="L188" s="108"/>
      <c r="M188" s="70"/>
      <c r="N188" s="70"/>
      <c r="O188" s="70"/>
      <c r="P188" s="326" t="s">
        <v>124</v>
      </c>
    </row>
    <row r="189" spans="1:17" ht="105.75" customHeight="1" x14ac:dyDescent="0.4">
      <c r="A189" s="364" t="s">
        <v>59</v>
      </c>
      <c r="B189" s="349" t="s">
        <v>116</v>
      </c>
      <c r="C189" s="61" t="e">
        <f>#REF!+#REF!+#REF!+#REF!+#REF!</f>
        <v>#REF!</v>
      </c>
      <c r="D189" s="61" t="e">
        <f>#REF!+#REF!+#REF!+#REF!+#REF!</f>
        <v>#REF!</v>
      </c>
      <c r="E189" s="61" t="e">
        <f>#REF!+#REF!+#REF!+#REF!+#REF!</f>
        <v>#REF!</v>
      </c>
      <c r="F189" s="107"/>
      <c r="G189" s="107"/>
      <c r="H189" s="115"/>
      <c r="I189" s="108"/>
      <c r="J189" s="107"/>
      <c r="K189" s="108"/>
      <c r="L189" s="108"/>
      <c r="M189" s="70"/>
      <c r="N189" s="70"/>
      <c r="O189" s="70"/>
      <c r="P189" s="326" t="s">
        <v>124</v>
      </c>
    </row>
    <row r="190" spans="1:17" ht="130.5" customHeight="1" x14ac:dyDescent="0.4">
      <c r="A190" s="364" t="s">
        <v>60</v>
      </c>
      <c r="B190" s="349" t="s">
        <v>117</v>
      </c>
      <c r="C190" s="61" t="e">
        <f>#REF!+#REF!+#REF!+#REF!+#REF!</f>
        <v>#REF!</v>
      </c>
      <c r="D190" s="61" t="e">
        <f>#REF!+#REF!+#REF!+#REF!+#REF!</f>
        <v>#REF!</v>
      </c>
      <c r="E190" s="61" t="e">
        <f>#REF!+#REF!+#REF!+#REF!+#REF!</f>
        <v>#REF!</v>
      </c>
      <c r="F190" s="107"/>
      <c r="G190" s="107"/>
      <c r="H190" s="115"/>
      <c r="I190" s="108"/>
      <c r="J190" s="107"/>
      <c r="K190" s="108"/>
      <c r="L190" s="108"/>
      <c r="M190" s="70"/>
      <c r="N190" s="70"/>
      <c r="O190" s="70"/>
      <c r="P190" s="326" t="s">
        <v>124</v>
      </c>
    </row>
    <row r="410" spans="12:15" x14ac:dyDescent="0.4">
      <c r="L410" s="40"/>
      <c r="M410" s="40"/>
      <c r="N410" s="40"/>
      <c r="O410" s="40"/>
    </row>
    <row r="411" spans="12:15" x14ac:dyDescent="0.4">
      <c r="L411" s="40"/>
      <c r="M411" s="40"/>
      <c r="N411" s="40"/>
      <c r="O411" s="40"/>
    </row>
    <row r="412" spans="12:15" x14ac:dyDescent="0.4">
      <c r="L412" s="40"/>
      <c r="M412" s="40"/>
      <c r="N412" s="40"/>
      <c r="O412" s="40"/>
    </row>
  </sheetData>
  <autoFilter ref="A7:P397"/>
  <customSheetViews>
    <customSheetView guid="{BEA0FDBA-BB07-4C19-8BBD-5E57EE395C09}" scale="40" showPageBreaks="1" outlineSymbols="0" zeroValues="0" fitToPage="1" printArea="1" showAutoFilter="1" hiddenColumns="1" view="pageBreakPreview" topLeftCell="A4">
      <pane xSplit="4" ySplit="7" topLeftCell="L143" activePane="bottomRight" state="frozen"/>
      <selection pane="bottomRight" activeCell="O147" sqref="O147:O153"/>
      <rowBreaks count="31" manualBreakCount="31">
        <brk id="120" max="15" man="1"/>
        <brk id="144" max="15" man="1"/>
        <brk id="165" max="15"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9" scale="27" fitToHeight="0" orientation="landscape" r:id="rId1"/>
      <autoFilter ref="A7:P397"/>
    </customSheetView>
    <customSheetView guid="{A0A3CD9B-2436-40D7-91DB-589A95FBBF00}" scale="40" showPageBreaks="1" outlineSymbols="0" zeroValues="0" fitToPage="1" printArea="1" showAutoFilter="1" hiddenColumns="1" view="pageBreakPreview" topLeftCell="A4">
      <pane xSplit="4" ySplit="4" topLeftCell="F8" activePane="bottomRight" state="frozen"/>
      <selection pane="bottomRight" activeCell="H11" sqref="H11"/>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39" fitToHeight="0" orientation="landscape" r:id="rId2"/>
      <autoFilter ref="A7:P397"/>
    </customSheetView>
    <customSheetView guid="{998B8119-4FF3-4A16-838D-539C6AE34D55}" scale="40" showPageBreaks="1" outlineSymbols="0" zeroValues="0" fitToPage="1" printArea="1" showAutoFilter="1" hiddenColumns="1" view="pageBreakPreview" topLeftCell="A4">
      <pane xSplit="4" ySplit="7" topLeftCell="L40" activePane="bottomRight" state="frozen"/>
      <selection pane="bottomRight" activeCell="P42" sqref="P42:P47"/>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3"/>
      <autoFilter ref="A7:P397"/>
    </customSheetView>
    <customSheetView guid="{649E5CE3-4976-49D9-83DA-4E57FFC714BF}" scale="40" showPageBreaks="1" outlineSymbols="0" zeroValues="0" fitToPage="1" printArea="1" showAutoFilter="1" hiddenColumns="1" view="pageBreakPreview" topLeftCell="A172">
      <selection activeCell="J143" sqref="J143"/>
      <rowBreaks count="30" manualBreakCount="30">
        <brk id="27" max="15" man="1"/>
        <brk id="41"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r:id="rId4"/>
      <autoFilter ref="A7:P397"/>
    </customSheetView>
    <customSheetView guid="{67ADFAE6-A9AF-44D7-8539-93CD0F6B7849}" scale="40" showPageBreaks="1" outlineSymbols="0" zeroValues="0" fitToPage="1" printArea="1" showAutoFilter="1" hiddenColumns="1" view="pageBreakPreview" topLeftCell="A4">
      <pane xSplit="4" ySplit="7" topLeftCell="F24" activePane="bottomRight" state="frozen"/>
      <selection pane="bottomRight" activeCell="G34" sqref="G34"/>
      <rowBreaks count="31" manualBreakCount="31">
        <brk id="41" max="15" man="1"/>
        <brk id="109" max="15" man="1"/>
        <brk id="146" max="15"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horizontalDpi="4294967293" r:id="rId5"/>
      <autoFilter ref="A7:P39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6"/>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7"/>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8"/>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0"/>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3"/>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8"/>
      <autoFilter ref="A7:P393"/>
    </customSheetView>
    <customSheetView guid="{D95852A1-B0FC-4AC5-B62B-5CCBE05B0D15}" scale="40" showPageBreaks="1" outlineSymbols="0" zeroValues="0" fitToPage="1" printArea="1" showAutoFilter="1" hiddenColumns="1" view="pageBreakPreview" topLeftCell="A5">
      <pane xSplit="4" ySplit="4" topLeftCell="J24" activePane="bottomRight" state="frozen"/>
      <selection pane="bottomRight" activeCell="P28" sqref="P28:P34"/>
      <rowBreaks count="28" manualBreakCount="28">
        <brk id="32" max="15"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8" scale="27" fitToHeight="0" orientation="landscape" r:id="rId19"/>
      <autoFilter ref="A7:P397"/>
    </customSheetView>
    <customSheetView guid="{45DE1976-7F07-4EB4-8A9C-FB72D060BEFA}" scale="40" showPageBreaks="1" outlineSymbols="0" zeroValues="0" fitToPage="1" printArea="1" showAutoFilter="1" hiddenColumns="1" view="pageBreakPreview" topLeftCell="A167">
      <selection activeCell="L177" sqref="L177"/>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39" fitToHeight="0" orientation="landscape" r:id="rId20"/>
      <autoFilter ref="A7:P397"/>
    </customSheetView>
    <customSheetView guid="{7B245AB0-C2AF-4822-BFC4-2399F85856C1}" scale="40" showPageBreaks="1" outlineSymbols="0" zeroValues="0" fitToPage="1" printArea="1" showAutoFilter="1" hiddenColumns="1" view="pageBreakPreview" topLeftCell="A4">
      <pane xSplit="4" ySplit="7" topLeftCell="F20" activePane="bottomRight" state="frozen"/>
      <selection pane="bottomRight" activeCell="H24" sqref="H2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39" fitToHeight="0" orientation="landscape" r:id="rId21"/>
      <autoFilter ref="A7:P397"/>
    </customSheetView>
    <customSheetView guid="{5FB953A5-71FF-4056-AF98-C9D06FF0EDF3}" scale="46" showPageBreaks="1" outlineSymbols="0" zeroValues="0" fitToPage="1" printArea="1" showAutoFilter="1" hiddenColumns="1" view="pageBreakPreview" topLeftCell="A4">
      <pane xSplit="4" ySplit="7" topLeftCell="F173" activePane="bottomRight" state="frozen"/>
      <selection pane="bottomRight" activeCell="G177" sqref="G177"/>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2"/>
      <autoFilter ref="A7:P397"/>
    </customSheetView>
  </customSheetViews>
  <mergeCells count="77">
    <mergeCell ref="O147:O148"/>
    <mergeCell ref="A147:A148"/>
    <mergeCell ref="B147:B148"/>
    <mergeCell ref="F147:F148"/>
    <mergeCell ref="G147:G148"/>
    <mergeCell ref="H147:H148"/>
    <mergeCell ref="I147:I148"/>
    <mergeCell ref="J147:J148"/>
    <mergeCell ref="K147:K148"/>
    <mergeCell ref="L147:L148"/>
    <mergeCell ref="I28:I29"/>
    <mergeCell ref="J28:J29"/>
    <mergeCell ref="K28:K29"/>
    <mergeCell ref="L28:L29"/>
    <mergeCell ref="O28:O29"/>
    <mergeCell ref="B28:B29"/>
    <mergeCell ref="A28:A29"/>
    <mergeCell ref="F28:F29"/>
    <mergeCell ref="G28:G29"/>
    <mergeCell ref="H28:H29"/>
    <mergeCell ref="I21:I22"/>
    <mergeCell ref="J21:J22"/>
    <mergeCell ref="K21:K22"/>
    <mergeCell ref="L21:L22"/>
    <mergeCell ref="O21:O22"/>
    <mergeCell ref="B21:B22"/>
    <mergeCell ref="A21:A22"/>
    <mergeCell ref="F21:F22"/>
    <mergeCell ref="G21:G22"/>
    <mergeCell ref="H21:H22"/>
    <mergeCell ref="P74:P79"/>
    <mergeCell ref="P80:P85"/>
    <mergeCell ref="A3:P3"/>
    <mergeCell ref="J6:K6"/>
    <mergeCell ref="A9:A14"/>
    <mergeCell ref="A5:A7"/>
    <mergeCell ref="H6:I6"/>
    <mergeCell ref="C5:C7"/>
    <mergeCell ref="G6:G7"/>
    <mergeCell ref="F5:G5"/>
    <mergeCell ref="E5:E7"/>
    <mergeCell ref="F6:F7"/>
    <mergeCell ref="B5:B7"/>
    <mergeCell ref="L5:L7"/>
    <mergeCell ref="O5:O7"/>
    <mergeCell ref="D5:D7"/>
    <mergeCell ref="P5:P7"/>
    <mergeCell ref="H5:K5"/>
    <mergeCell ref="P54:P59"/>
    <mergeCell ref="P128:P133"/>
    <mergeCell ref="P15:P20"/>
    <mergeCell ref="P36:P41"/>
    <mergeCell ref="P48:P53"/>
    <mergeCell ref="P21:P27"/>
    <mergeCell ref="P28:P34"/>
    <mergeCell ref="P42:P47"/>
    <mergeCell ref="P92:P97"/>
    <mergeCell ref="P98:P103"/>
    <mergeCell ref="P110:P115"/>
    <mergeCell ref="P116:P121"/>
    <mergeCell ref="P122:P127"/>
    <mergeCell ref="P68:P73"/>
    <mergeCell ref="P180:P185"/>
    <mergeCell ref="P147:P153"/>
    <mergeCell ref="A140:A146"/>
    <mergeCell ref="P140:P146"/>
    <mergeCell ref="P173:P178"/>
    <mergeCell ref="P166:P171"/>
    <mergeCell ref="B140:B141"/>
    <mergeCell ref="F140:F141"/>
    <mergeCell ref="G140:G141"/>
    <mergeCell ref="H140:H141"/>
    <mergeCell ref="I140:I141"/>
    <mergeCell ref="J140:J141"/>
    <mergeCell ref="K140:K141"/>
    <mergeCell ref="L140:L141"/>
    <mergeCell ref="O140:O141"/>
  </mergeCells>
  <phoneticPr fontId="4" type="noConversion"/>
  <printOptions horizontalCentered="1"/>
  <pageMargins left="0" right="0" top="0.9055118110236221" bottom="0" header="0" footer="0"/>
  <pageSetup paperSize="9" scale="27" fitToHeight="0" orientation="landscape" r:id="rId23"/>
  <rowBreaks count="31" manualBreakCount="31">
    <brk id="120" max="15" man="1"/>
    <brk id="144" max="15" man="1"/>
    <brk id="165" max="15"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legacyDrawing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8" zoomScale="57" zoomScaleNormal="57" workbookViewId="0">
      <selection activeCell="E11" sqref="E11"/>
    </sheetView>
  </sheetViews>
  <sheetFormatPr defaultRowHeight="15.75" x14ac:dyDescent="0.25"/>
  <cols>
    <col min="1" max="1" width="4" customWidth="1"/>
    <col min="2" max="2" width="82.625" style="2" customWidth="1"/>
    <col min="3" max="3" width="21" style="22" customWidth="1"/>
    <col min="4" max="4" width="18.625" customWidth="1"/>
    <col min="5" max="6" width="17.75" customWidth="1"/>
    <col min="7" max="7" width="16.75" customWidth="1"/>
    <col min="8" max="8" width="17" customWidth="1"/>
    <col min="9" max="9" width="13" customWidth="1"/>
    <col min="10" max="10" width="14.875" customWidth="1"/>
    <col min="11" max="11" width="19.25" style="351" customWidth="1"/>
    <col min="12" max="14" width="15.125" style="26" bestFit="1" customWidth="1"/>
  </cols>
  <sheetData>
    <row r="1" spans="1:14" ht="22.5" customHeight="1" x14ac:dyDescent="0.25">
      <c r="A1" s="442" t="s">
        <v>128</v>
      </c>
      <c r="B1" s="442"/>
      <c r="C1" s="442"/>
      <c r="D1" s="442"/>
      <c r="E1" s="442"/>
      <c r="F1" s="442"/>
      <c r="G1" s="442"/>
      <c r="H1" s="442"/>
      <c r="I1" s="442"/>
      <c r="J1" s="442"/>
    </row>
    <row r="2" spans="1:14" x14ac:dyDescent="0.25">
      <c r="J2" s="9" t="s">
        <v>53</v>
      </c>
    </row>
    <row r="3" spans="1:14" ht="72" customHeight="1" x14ac:dyDescent="0.25">
      <c r="A3" s="1" t="s">
        <v>3</v>
      </c>
      <c r="B3" s="1" t="s">
        <v>33</v>
      </c>
      <c r="C3" s="23" t="s">
        <v>49</v>
      </c>
      <c r="D3" s="1" t="s">
        <v>43</v>
      </c>
      <c r="E3" s="3" t="s">
        <v>61</v>
      </c>
      <c r="F3" s="4" t="s">
        <v>62</v>
      </c>
      <c r="G3" s="5" t="s">
        <v>55</v>
      </c>
      <c r="H3" s="4" t="s">
        <v>50</v>
      </c>
      <c r="I3" s="4" t="s">
        <v>51</v>
      </c>
      <c r="J3" s="6" t="s">
        <v>2</v>
      </c>
    </row>
    <row r="4" spans="1:14" s="15" customFormat="1" ht="48" customHeight="1" x14ac:dyDescent="0.3">
      <c r="A4" s="10">
        <v>1</v>
      </c>
      <c r="B4" s="178" t="s">
        <v>73</v>
      </c>
      <c r="C4" s="20" t="s">
        <v>40</v>
      </c>
      <c r="D4" s="25" t="s">
        <v>44</v>
      </c>
      <c r="E4" s="13">
        <f>'на 01.09.2016'!F15</f>
        <v>206597.24</v>
      </c>
      <c r="F4" s="13">
        <f>'на 01.09.2016'!G15</f>
        <v>206597.24</v>
      </c>
      <c r="G4" s="13">
        <f>'на 01.09.2016'!H15</f>
        <v>132890.07999999999</v>
      </c>
      <c r="H4" s="13">
        <f>'на 01.09.2016'!J15</f>
        <v>132890.07999999999</v>
      </c>
      <c r="I4" s="13">
        <f>G4-H4</f>
        <v>0</v>
      </c>
      <c r="J4" s="14">
        <f>H4/F4</f>
        <v>0.64</v>
      </c>
      <c r="K4" s="180" t="s">
        <v>157</v>
      </c>
      <c r="L4" s="27" t="b">
        <f>F4='на 01.09.2016'!G15</f>
        <v>1</v>
      </c>
      <c r="M4" s="27" t="b">
        <f>G4='на 01.09.2016'!H15</f>
        <v>1</v>
      </c>
      <c r="N4" s="27" t="b">
        <f>H4='на 01.09.2016'!J15</f>
        <v>1</v>
      </c>
    </row>
    <row r="5" spans="1:14" s="15" customFormat="1" ht="45.75" customHeight="1" x14ac:dyDescent="0.3">
      <c r="A5" s="10">
        <v>2</v>
      </c>
      <c r="B5" s="11" t="s">
        <v>74</v>
      </c>
      <c r="C5" s="20" t="s">
        <v>39</v>
      </c>
      <c r="D5" s="16" t="s">
        <v>44</v>
      </c>
      <c r="E5" s="13">
        <f>'на 01.09.2016'!F21</f>
        <v>8406994.8499999996</v>
      </c>
      <c r="F5" s="13">
        <f>'на 01.09.2016'!G21</f>
        <v>8452399.0500000007</v>
      </c>
      <c r="G5" s="13">
        <f>'на 01.09.2016'!H21</f>
        <v>5288860.99</v>
      </c>
      <c r="H5" s="13">
        <f>'на 01.09.2016'!J21</f>
        <v>5242624.2300000004</v>
      </c>
      <c r="I5" s="13">
        <f>G5-H5</f>
        <v>46236.76</v>
      </c>
      <c r="J5" s="14">
        <f>H5/F5</f>
        <v>0.62</v>
      </c>
      <c r="K5" s="355" t="s">
        <v>201</v>
      </c>
      <c r="L5" s="27" t="b">
        <f>F5='на 01.09.2016'!G21</f>
        <v>1</v>
      </c>
      <c r="M5" s="27" t="b">
        <f>G5='на 01.09.2016'!H21</f>
        <v>1</v>
      </c>
      <c r="N5" s="27" t="b">
        <f>H5='на 01.09.2016'!J21</f>
        <v>1</v>
      </c>
    </row>
    <row r="6" spans="1:14" s="15" customFormat="1" ht="45.75" customHeight="1" x14ac:dyDescent="0.3">
      <c r="A6" s="10">
        <v>3</v>
      </c>
      <c r="B6" s="11" t="s">
        <v>75</v>
      </c>
      <c r="C6" s="20" t="s">
        <v>40</v>
      </c>
      <c r="D6" s="16" t="s">
        <v>44</v>
      </c>
      <c r="E6" s="13">
        <f>'на 01.09.2016'!F28</f>
        <v>371677.98</v>
      </c>
      <c r="F6" s="13">
        <f>'на 01.09.2016'!G28</f>
        <v>380361.78</v>
      </c>
      <c r="G6" s="13">
        <f>'на 01.09.2016'!H28</f>
        <v>269230.09999999998</v>
      </c>
      <c r="H6" s="13">
        <f>'на 01.09.2016'!J28</f>
        <v>198099.6</v>
      </c>
      <c r="I6" s="13">
        <f>G6-H6</f>
        <v>71130.5</v>
      </c>
      <c r="J6" s="14">
        <f>H6/F6</f>
        <v>0.52</v>
      </c>
      <c r="K6" s="354" t="s">
        <v>200</v>
      </c>
      <c r="L6" s="27" t="b">
        <f>F6='на 01.09.2016'!G28</f>
        <v>1</v>
      </c>
      <c r="M6" s="27" t="b">
        <f>G6='на 01.09.2016'!H28</f>
        <v>1</v>
      </c>
      <c r="N6" s="27" t="b">
        <f>H6='на 01.09.2016'!J28</f>
        <v>1</v>
      </c>
    </row>
    <row r="7" spans="1:14" s="15" customFormat="1" ht="45.75" customHeight="1" x14ac:dyDescent="0.3">
      <c r="A7" s="10">
        <v>4</v>
      </c>
      <c r="B7" s="178" t="s">
        <v>76</v>
      </c>
      <c r="C7" s="20" t="s">
        <v>40</v>
      </c>
      <c r="D7" s="12" t="s">
        <v>45</v>
      </c>
      <c r="E7" s="444"/>
      <c r="F7" s="444"/>
      <c r="G7" s="444"/>
      <c r="H7" s="444"/>
      <c r="I7" s="444"/>
      <c r="J7" s="444"/>
      <c r="K7" s="180" t="s">
        <v>157</v>
      </c>
      <c r="L7" s="27"/>
      <c r="M7" s="27"/>
      <c r="N7" s="27"/>
    </row>
    <row r="8" spans="1:14" s="15" customFormat="1" ht="45.75" customHeight="1" x14ac:dyDescent="0.3">
      <c r="A8" s="10">
        <v>5</v>
      </c>
      <c r="B8" s="11" t="s">
        <v>77</v>
      </c>
      <c r="C8" s="20" t="s">
        <v>35</v>
      </c>
      <c r="D8" s="16" t="s">
        <v>44</v>
      </c>
      <c r="E8" s="13">
        <f>'на 01.09.2016'!F36</f>
        <v>174321.68</v>
      </c>
      <c r="F8" s="13">
        <f>'на 01.09.2016'!G36</f>
        <v>174307.38</v>
      </c>
      <c r="G8" s="13">
        <f>'на 01.09.2016'!H36</f>
        <v>138536.89000000001</v>
      </c>
      <c r="H8" s="13">
        <f>'на 01.09.2016'!J36</f>
        <v>135254.39000000001</v>
      </c>
      <c r="I8" s="13">
        <f>G8-H8</f>
        <v>3282.5</v>
      </c>
      <c r="J8" s="14">
        <f>H8/F8</f>
        <v>0.78</v>
      </c>
      <c r="K8" s="355" t="s">
        <v>201</v>
      </c>
      <c r="L8" s="27" t="b">
        <f>F8='на 01.09.2016'!G36</f>
        <v>1</v>
      </c>
      <c r="M8" s="27" t="b">
        <f>G8='на 01.09.2016'!H36</f>
        <v>1</v>
      </c>
      <c r="N8" s="27" t="b">
        <f>H8='на 01.09.2016'!J36</f>
        <v>1</v>
      </c>
    </row>
    <row r="9" spans="1:14" s="15" customFormat="1" ht="45.75" customHeight="1" x14ac:dyDescent="0.3">
      <c r="A9" s="10">
        <v>6</v>
      </c>
      <c r="B9" s="11" t="s">
        <v>78</v>
      </c>
      <c r="C9" s="20" t="s">
        <v>35</v>
      </c>
      <c r="D9" s="16" t="s">
        <v>44</v>
      </c>
      <c r="E9" s="13">
        <f>'на 01.09.2016'!F42</f>
        <v>273262.64</v>
      </c>
      <c r="F9" s="13">
        <f>'на 01.09.2016'!G42</f>
        <v>273915.15000000002</v>
      </c>
      <c r="G9" s="13">
        <f>'на 01.09.2016'!H42</f>
        <v>652.5</v>
      </c>
      <c r="H9" s="13">
        <f>'на 01.09.2016'!J42</f>
        <v>0</v>
      </c>
      <c r="I9" s="13">
        <f>G9-H9</f>
        <v>652.5</v>
      </c>
      <c r="J9" s="14">
        <f>H9/F9</f>
        <v>0</v>
      </c>
      <c r="K9" s="355" t="s">
        <v>201</v>
      </c>
      <c r="L9" s="27" t="b">
        <f>F9='на 01.09.2016'!G42</f>
        <v>1</v>
      </c>
      <c r="M9" s="27" t="b">
        <f>G9='на 01.09.2016'!H42</f>
        <v>1</v>
      </c>
      <c r="N9" s="27" t="b">
        <f>H9='на 01.09.2016'!J42</f>
        <v>1</v>
      </c>
    </row>
    <row r="10" spans="1:14" s="15" customFormat="1" ht="45.75" customHeight="1" x14ac:dyDescent="0.3">
      <c r="A10" s="10">
        <v>7</v>
      </c>
      <c r="B10" s="11" t="s">
        <v>79</v>
      </c>
      <c r="C10" s="20" t="s">
        <v>34</v>
      </c>
      <c r="D10" s="12" t="s">
        <v>44</v>
      </c>
      <c r="E10" s="13">
        <f>'на 01.09.2016'!F48</f>
        <v>8804.68</v>
      </c>
      <c r="F10" s="13">
        <f>'на 01.09.2016'!G48</f>
        <v>8804.68</v>
      </c>
      <c r="G10" s="12">
        <f>'на 01.09.2016'!H48</f>
        <v>5433.34</v>
      </c>
      <c r="H10" s="13">
        <f>'на 01.09.2016'!J48</f>
        <v>4888.2</v>
      </c>
      <c r="I10" s="13">
        <f>G10-H10</f>
        <v>545.14</v>
      </c>
      <c r="J10" s="14">
        <f>H10/F10</f>
        <v>0.56000000000000005</v>
      </c>
      <c r="K10" s="355" t="s">
        <v>201</v>
      </c>
      <c r="L10" s="27" t="b">
        <f>F10='на 01.09.2016'!G48</f>
        <v>1</v>
      </c>
      <c r="M10" s="27" t="b">
        <f>G10='на 01.09.2016'!H48</f>
        <v>1</v>
      </c>
      <c r="N10" s="27" t="b">
        <f>H10='на 01.09.2016'!J48</f>
        <v>1</v>
      </c>
    </row>
    <row r="11" spans="1:14" s="15" customFormat="1" ht="60.75" x14ac:dyDescent="0.3">
      <c r="A11" s="10">
        <v>8</v>
      </c>
      <c r="B11" s="178" t="s">
        <v>80</v>
      </c>
      <c r="C11" s="20" t="s">
        <v>81</v>
      </c>
      <c r="D11" s="12" t="s">
        <v>44</v>
      </c>
      <c r="E11" s="13">
        <f>'на 01.09.2016'!F54</f>
        <v>14754.16</v>
      </c>
      <c r="F11" s="13">
        <f>'на 01.09.2016'!G54</f>
        <v>14754.16</v>
      </c>
      <c r="G11" s="13">
        <f>'на 01.09.2016'!H54</f>
        <v>6181.25</v>
      </c>
      <c r="H11" s="13">
        <f>'на 01.09.2016'!J54</f>
        <v>5959.23</v>
      </c>
      <c r="I11" s="13">
        <f>G11-H11</f>
        <v>222.02</v>
      </c>
      <c r="J11" s="14">
        <f>H11/F11</f>
        <v>0.4</v>
      </c>
      <c r="K11" s="180" t="s">
        <v>157</v>
      </c>
      <c r="L11" s="27" t="b">
        <f>F11='на 01.09.2016'!G54</f>
        <v>1</v>
      </c>
      <c r="M11" s="27" t="b">
        <f>G11='на 01.09.2016'!H54</f>
        <v>1</v>
      </c>
      <c r="N11" s="27" t="b">
        <f>H11='на 01.09.2016'!J54</f>
        <v>1</v>
      </c>
    </row>
    <row r="12" spans="1:14" s="15" customFormat="1" ht="40.5" x14ac:dyDescent="0.3">
      <c r="A12" s="10">
        <v>9</v>
      </c>
      <c r="B12" s="11" t="s">
        <v>82</v>
      </c>
      <c r="C12" s="20"/>
      <c r="D12" s="12" t="s">
        <v>45</v>
      </c>
      <c r="E12" s="444"/>
      <c r="F12" s="444"/>
      <c r="G12" s="444"/>
      <c r="H12" s="444"/>
      <c r="I12" s="444"/>
      <c r="J12" s="444"/>
      <c r="K12" s="352"/>
      <c r="L12" s="27"/>
      <c r="M12" s="27"/>
      <c r="N12" s="27"/>
    </row>
    <row r="13" spans="1:14" s="15" customFormat="1" ht="60.75" x14ac:dyDescent="0.3">
      <c r="A13" s="10">
        <v>10</v>
      </c>
      <c r="B13" s="11" t="s">
        <v>83</v>
      </c>
      <c r="C13" s="20"/>
      <c r="D13" s="21" t="s">
        <v>45</v>
      </c>
      <c r="E13" s="444"/>
      <c r="F13" s="444"/>
      <c r="G13" s="444"/>
      <c r="H13" s="444"/>
      <c r="I13" s="444"/>
      <c r="J13" s="444"/>
      <c r="K13" s="352"/>
      <c r="L13" s="27"/>
      <c r="M13" s="27"/>
      <c r="N13" s="27"/>
    </row>
    <row r="14" spans="1:14" s="15" customFormat="1" ht="40.5" x14ac:dyDescent="0.3">
      <c r="A14" s="17">
        <v>11</v>
      </c>
      <c r="B14" s="179" t="s">
        <v>84</v>
      </c>
      <c r="C14" s="20" t="s">
        <v>42</v>
      </c>
      <c r="D14" s="12" t="s">
        <v>44</v>
      </c>
      <c r="E14" s="13" t="e">
        <f>'на 01.09.2016'!#REF!</f>
        <v>#REF!</v>
      </c>
      <c r="F14" s="13" t="e">
        <f>'на 01.09.2016'!#REF!</f>
        <v>#REF!</v>
      </c>
      <c r="G14" s="13" t="e">
        <f>'на 01.09.2016'!#REF!</f>
        <v>#REF!</v>
      </c>
      <c r="H14" s="13" t="e">
        <f>'на 01.09.2016'!#REF!</f>
        <v>#REF!</v>
      </c>
      <c r="I14" s="13" t="e">
        <f>G14-H14</f>
        <v>#REF!</v>
      </c>
      <c r="J14" s="14" t="e">
        <f>H14/F14</f>
        <v>#REF!</v>
      </c>
      <c r="K14" s="180" t="s">
        <v>157</v>
      </c>
      <c r="L14" s="27" t="e">
        <f>F14='на 01.09.2016'!#REF!</f>
        <v>#REF!</v>
      </c>
      <c r="M14" s="27" t="e">
        <f>G14='на 01.09.2016'!#REF!</f>
        <v>#REF!</v>
      </c>
      <c r="N14" s="27" t="e">
        <f>H14='на 01.09.2016'!#REF!</f>
        <v>#REF!</v>
      </c>
    </row>
    <row r="15" spans="1:14" s="15" customFormat="1" ht="60.75" x14ac:dyDescent="0.3">
      <c r="A15" s="10">
        <v>12</v>
      </c>
      <c r="B15" s="178" t="s">
        <v>85</v>
      </c>
      <c r="C15" s="20" t="s">
        <v>38</v>
      </c>
      <c r="D15" s="12" t="s">
        <v>44</v>
      </c>
      <c r="E15" s="13">
        <f>'на 01.09.2016'!F140</f>
        <v>195789.84</v>
      </c>
      <c r="F15" s="13">
        <f>'на 01.09.2016'!G140</f>
        <v>275942.07</v>
      </c>
      <c r="G15" s="13">
        <f>'на 01.09.2016'!H140</f>
        <v>74846.64</v>
      </c>
      <c r="H15" s="13">
        <f>'на 01.09.2016'!J140</f>
        <v>71033</v>
      </c>
      <c r="I15" s="13">
        <f>G15-H15</f>
        <v>3813.64</v>
      </c>
      <c r="J15" s="14">
        <f>H15/F15</f>
        <v>0.26</v>
      </c>
      <c r="K15" s="180" t="s">
        <v>157</v>
      </c>
      <c r="L15" s="27" t="b">
        <f>F15='на 01.09.2016'!G140</f>
        <v>1</v>
      </c>
      <c r="M15" s="27" t="b">
        <f>G15='на 01.09.2016'!H140</f>
        <v>1</v>
      </c>
      <c r="N15" s="27" t="b">
        <f>H15='на 01.09.2016'!J140</f>
        <v>1</v>
      </c>
    </row>
    <row r="16" spans="1:14" s="15" customFormat="1" ht="128.25" customHeight="1" x14ac:dyDescent="0.3">
      <c r="A16" s="10">
        <v>13</v>
      </c>
      <c r="B16" s="11" t="s">
        <v>87</v>
      </c>
      <c r="C16" s="20" t="s">
        <v>86</v>
      </c>
      <c r="D16" s="12" t="s">
        <v>44</v>
      </c>
      <c r="E16" s="13">
        <f>'на 01.09.2016'!F147</f>
        <v>60370.879999999997</v>
      </c>
      <c r="F16" s="13">
        <f>'на 01.09.2016'!G147</f>
        <v>61670.879999999997</v>
      </c>
      <c r="G16" s="13">
        <f>'на 01.09.2016'!H147</f>
        <v>45510.51</v>
      </c>
      <c r="H16" s="13">
        <f>'на 01.09.2016'!J147</f>
        <v>40593.1</v>
      </c>
      <c r="I16" s="13">
        <f t="shared" ref="I16" si="0">G16-H16</f>
        <v>4917.41</v>
      </c>
      <c r="J16" s="14">
        <f>H16/F16</f>
        <v>0.66</v>
      </c>
      <c r="K16" s="354" t="s">
        <v>200</v>
      </c>
      <c r="L16" s="27" t="b">
        <f>F16='на 01.09.2016'!G147</f>
        <v>1</v>
      </c>
      <c r="M16" s="27" t="b">
        <f>G16='на 01.09.2016'!H147</f>
        <v>1</v>
      </c>
      <c r="N16" s="27" t="b">
        <f>H16='на 01.09.2016'!J147</f>
        <v>1</v>
      </c>
    </row>
    <row r="17" spans="1:14" s="15" customFormat="1" ht="60.75" x14ac:dyDescent="0.3">
      <c r="A17" s="10">
        <v>14</v>
      </c>
      <c r="B17" s="11" t="s">
        <v>88</v>
      </c>
      <c r="C17" s="20" t="s">
        <v>37</v>
      </c>
      <c r="D17" s="24" t="s">
        <v>45</v>
      </c>
      <c r="E17" s="446"/>
      <c r="F17" s="447"/>
      <c r="G17" s="447"/>
      <c r="H17" s="447"/>
      <c r="I17" s="447"/>
      <c r="J17" s="448"/>
      <c r="K17" s="352" t="b">
        <f>E17='на 01.09.2016'!F154</f>
        <v>1</v>
      </c>
      <c r="L17" s="27" t="b">
        <f>F17='на 01.09.2016'!G154</f>
        <v>1</v>
      </c>
      <c r="M17" s="27" t="b">
        <f>G17='на 01.09.2016'!H154</f>
        <v>1</v>
      </c>
      <c r="N17" s="27" t="b">
        <f>H17='на 01.09.2016'!J154</f>
        <v>1</v>
      </c>
    </row>
    <row r="18" spans="1:14" s="15" customFormat="1" ht="40.5" x14ac:dyDescent="0.3">
      <c r="A18" s="10">
        <v>15</v>
      </c>
      <c r="B18" s="11" t="s">
        <v>89</v>
      </c>
      <c r="C18" s="20" t="s">
        <v>41</v>
      </c>
      <c r="D18" s="21" t="s">
        <v>45</v>
      </c>
      <c r="E18" s="444"/>
      <c r="F18" s="444"/>
      <c r="G18" s="444"/>
      <c r="H18" s="444"/>
      <c r="I18" s="444"/>
      <c r="J18" s="444"/>
      <c r="K18" s="352"/>
      <c r="L18" s="27"/>
      <c r="M18" s="27"/>
      <c r="N18" s="27"/>
    </row>
    <row r="19" spans="1:14" s="15" customFormat="1" ht="40.5" x14ac:dyDescent="0.3">
      <c r="A19" s="10">
        <v>16</v>
      </c>
      <c r="B19" s="11" t="s">
        <v>90</v>
      </c>
      <c r="C19" s="20" t="s">
        <v>34</v>
      </c>
      <c r="D19" s="12" t="s">
        <v>44</v>
      </c>
      <c r="E19" s="13">
        <f>'на 01.09.2016'!F166</f>
        <v>142882.93</v>
      </c>
      <c r="F19" s="13">
        <f>'на 01.09.2016'!G166</f>
        <v>142882.93</v>
      </c>
      <c r="G19" s="13">
        <f>'на 01.09.2016'!H166</f>
        <v>127200.98</v>
      </c>
      <c r="H19" s="13">
        <f>'на 01.09.2016'!J166</f>
        <v>111009.67</v>
      </c>
      <c r="I19" s="13">
        <f>G19-H19</f>
        <v>16191.31</v>
      </c>
      <c r="J19" s="14">
        <f>H19/F19</f>
        <v>0.78</v>
      </c>
      <c r="K19" s="354" t="s">
        <v>200</v>
      </c>
      <c r="L19" s="27" t="b">
        <f>F19='на 01.09.2016'!G166</f>
        <v>1</v>
      </c>
      <c r="M19" s="27" t="b">
        <f>G19='на 01.09.2016'!H166</f>
        <v>1</v>
      </c>
      <c r="N19" s="27" t="b">
        <f>H19='на 01.09.2016'!J166</f>
        <v>1</v>
      </c>
    </row>
    <row r="20" spans="1:14" s="15" customFormat="1" ht="40.5" x14ac:dyDescent="0.3">
      <c r="A20" s="10">
        <v>17</v>
      </c>
      <c r="B20" s="11" t="s">
        <v>91</v>
      </c>
      <c r="C20" s="20"/>
      <c r="D20" s="12" t="s">
        <v>45</v>
      </c>
      <c r="E20" s="444"/>
      <c r="F20" s="444"/>
      <c r="G20" s="444"/>
      <c r="H20" s="444"/>
      <c r="I20" s="444"/>
      <c r="J20" s="444"/>
      <c r="K20" s="352"/>
      <c r="L20" s="27"/>
      <c r="M20" s="27"/>
      <c r="N20" s="27"/>
    </row>
    <row r="21" spans="1:14" s="15" customFormat="1" ht="40.5" x14ac:dyDescent="0.3">
      <c r="A21" s="10">
        <v>18</v>
      </c>
      <c r="B21" s="178" t="s">
        <v>92</v>
      </c>
      <c r="C21" s="20" t="s">
        <v>42</v>
      </c>
      <c r="D21" s="16" t="s">
        <v>44</v>
      </c>
      <c r="E21" s="13">
        <f>'на 01.09.2016'!F173</f>
        <v>617623.30000000005</v>
      </c>
      <c r="F21" s="13">
        <f>'на 01.09.2016'!G173</f>
        <v>617623.30000000005</v>
      </c>
      <c r="G21" s="13">
        <f>'на 01.09.2016'!H173</f>
        <v>237198.92</v>
      </c>
      <c r="H21" s="13">
        <f>'на 01.09.2016'!J173</f>
        <v>237198.92</v>
      </c>
      <c r="I21" s="13">
        <f>G21-H21</f>
        <v>0</v>
      </c>
      <c r="J21" s="14">
        <f>H21/F21</f>
        <v>0.38</v>
      </c>
      <c r="K21" s="180" t="s">
        <v>157</v>
      </c>
      <c r="L21" s="27" t="b">
        <f>F21='на 01.09.2016'!G173</f>
        <v>1</v>
      </c>
      <c r="M21" s="27" t="b">
        <f>G21='на 01.09.2016'!H173</f>
        <v>1</v>
      </c>
      <c r="N21" s="27" t="b">
        <f>H21='на 01.09.2016'!J173</f>
        <v>1</v>
      </c>
    </row>
    <row r="22" spans="1:14" s="15" customFormat="1" ht="40.5" x14ac:dyDescent="0.3">
      <c r="A22" s="10">
        <v>19</v>
      </c>
      <c r="B22" s="11" t="s">
        <v>93</v>
      </c>
      <c r="C22" s="20"/>
      <c r="D22" s="12" t="s">
        <v>45</v>
      </c>
      <c r="E22" s="444"/>
      <c r="F22" s="444"/>
      <c r="G22" s="444"/>
      <c r="H22" s="444"/>
      <c r="I22" s="444"/>
      <c r="J22" s="444"/>
      <c r="K22" s="352"/>
      <c r="L22" s="27"/>
      <c r="M22" s="27"/>
      <c r="N22" s="27"/>
    </row>
    <row r="23" spans="1:14" s="15" customFormat="1" ht="81" x14ac:dyDescent="0.3">
      <c r="A23" s="10">
        <v>20</v>
      </c>
      <c r="B23" s="11" t="s">
        <v>94</v>
      </c>
      <c r="C23" s="20" t="s">
        <v>63</v>
      </c>
      <c r="D23" s="16" t="s">
        <v>44</v>
      </c>
      <c r="E23" s="13">
        <f>'на 01.09.2016'!F180</f>
        <v>58377.41</v>
      </c>
      <c r="F23" s="13">
        <f>'на 01.09.2016'!G180</f>
        <v>132213.9</v>
      </c>
      <c r="G23" s="13">
        <f>'на 01.09.2016'!H180</f>
        <v>55715.25</v>
      </c>
      <c r="H23" s="13">
        <f>'на 01.09.2016'!J180</f>
        <v>51804.5</v>
      </c>
      <c r="I23" s="13">
        <f>G23-H23</f>
        <v>3910.75</v>
      </c>
      <c r="J23" s="14">
        <f>H23/F23</f>
        <v>0.39</v>
      </c>
      <c r="K23" s="355" t="s">
        <v>201</v>
      </c>
      <c r="L23" s="27" t="b">
        <f>F23='на 01.09.2016'!G180</f>
        <v>1</v>
      </c>
      <c r="M23" s="27" t="b">
        <f>G23='на 01.09.2016'!H180</f>
        <v>1</v>
      </c>
      <c r="N23" s="27" t="b">
        <f>H23='на 01.09.2016'!J180</f>
        <v>1</v>
      </c>
    </row>
    <row r="24" spans="1:14" s="15" customFormat="1" ht="40.5" x14ac:dyDescent="0.3">
      <c r="A24" s="10">
        <v>21</v>
      </c>
      <c r="B24" s="11" t="s">
        <v>95</v>
      </c>
      <c r="C24" s="20" t="s">
        <v>36</v>
      </c>
      <c r="D24" s="19" t="s">
        <v>45</v>
      </c>
      <c r="E24" s="443"/>
      <c r="F24" s="443"/>
      <c r="G24" s="443"/>
      <c r="H24" s="443"/>
      <c r="I24" s="443"/>
      <c r="J24" s="443"/>
      <c r="K24" s="353"/>
      <c r="L24" s="28"/>
      <c r="M24" s="28"/>
      <c r="N24" s="28"/>
    </row>
    <row r="25" spans="1:14" s="15" customFormat="1" ht="40.5" x14ac:dyDescent="0.3">
      <c r="A25" s="10">
        <v>22</v>
      </c>
      <c r="B25" s="11" t="s">
        <v>96</v>
      </c>
      <c r="C25" s="20" t="s">
        <v>81</v>
      </c>
      <c r="D25" s="21" t="s">
        <v>45</v>
      </c>
      <c r="E25" s="444"/>
      <c r="F25" s="444"/>
      <c r="G25" s="444"/>
      <c r="H25" s="444"/>
      <c r="I25" s="444"/>
      <c r="J25" s="444"/>
      <c r="K25" s="353"/>
      <c r="L25" s="28"/>
      <c r="M25" s="28"/>
      <c r="N25" s="28"/>
    </row>
    <row r="26" spans="1:14" s="15" customFormat="1" ht="40.5" x14ac:dyDescent="0.3">
      <c r="A26" s="10">
        <v>23</v>
      </c>
      <c r="B26" s="11" t="s">
        <v>97</v>
      </c>
      <c r="C26" s="20"/>
      <c r="D26" s="12" t="s">
        <v>45</v>
      </c>
      <c r="E26" s="444"/>
      <c r="F26" s="444"/>
      <c r="G26" s="444"/>
      <c r="H26" s="444"/>
      <c r="I26" s="444"/>
      <c r="J26" s="444"/>
      <c r="K26" s="353"/>
      <c r="L26" s="28"/>
      <c r="M26" s="28"/>
      <c r="N26" s="28"/>
    </row>
    <row r="27" spans="1:14" s="15" customFormat="1" ht="60.75" x14ac:dyDescent="0.3">
      <c r="A27" s="10">
        <v>24</v>
      </c>
      <c r="B27" s="11" t="s">
        <v>120</v>
      </c>
      <c r="C27" s="20"/>
      <c r="D27" s="21" t="s">
        <v>45</v>
      </c>
      <c r="E27" s="444"/>
      <c r="F27" s="444"/>
      <c r="G27" s="444"/>
      <c r="H27" s="444"/>
      <c r="I27" s="444"/>
      <c r="J27" s="444"/>
      <c r="K27" s="353"/>
      <c r="L27" s="28"/>
      <c r="M27" s="28"/>
      <c r="N27" s="28"/>
    </row>
    <row r="28" spans="1:14" s="15" customFormat="1" ht="60.75" x14ac:dyDescent="0.3">
      <c r="A28" s="10">
        <v>25</v>
      </c>
      <c r="B28" s="11" t="s">
        <v>98</v>
      </c>
      <c r="C28" s="20"/>
      <c r="D28" s="21" t="s">
        <v>45</v>
      </c>
      <c r="E28" s="444"/>
      <c r="F28" s="444"/>
      <c r="G28" s="444"/>
      <c r="H28" s="444"/>
      <c r="I28" s="444"/>
      <c r="J28" s="444"/>
      <c r="K28" s="353"/>
      <c r="L28" s="28"/>
      <c r="M28" s="28"/>
      <c r="N28" s="28"/>
    </row>
    <row r="29" spans="1:14" s="15" customFormat="1" ht="81" x14ac:dyDescent="0.3">
      <c r="A29" s="10">
        <v>26</v>
      </c>
      <c r="B29" s="32" t="s">
        <v>121</v>
      </c>
      <c r="C29" s="20"/>
      <c r="D29" s="31"/>
      <c r="E29" s="13" t="e">
        <f>'на 01.09.2016'!#REF!</f>
        <v>#REF!</v>
      </c>
      <c r="F29" s="13" t="e">
        <f>'на 01.09.2016'!#REF!</f>
        <v>#REF!</v>
      </c>
      <c r="G29" s="13" t="e">
        <f>'на 01.09.2016'!#REF!</f>
        <v>#REF!</v>
      </c>
      <c r="H29" s="13" t="e">
        <f>'на 01.09.2016'!#REF!</f>
        <v>#REF!</v>
      </c>
      <c r="I29" s="13" t="e">
        <f>G29-H29</f>
        <v>#REF!</v>
      </c>
      <c r="J29" s="14" t="e">
        <f>H29/F29</f>
        <v>#REF!</v>
      </c>
      <c r="K29" s="354" t="s">
        <v>200</v>
      </c>
      <c r="L29" s="28"/>
      <c r="M29" s="28"/>
      <c r="N29" s="28"/>
    </row>
    <row r="30" spans="1:14" ht="139.5" customHeight="1" x14ac:dyDescent="0.3">
      <c r="A30" s="445" t="s">
        <v>119</v>
      </c>
      <c r="B30" s="445"/>
      <c r="C30" s="445"/>
      <c r="D30" s="18" t="s">
        <v>52</v>
      </c>
      <c r="E30" s="7" t="e">
        <f>E4+E5+E6+E8+E9+E10+E11+E14+E15+E16+E17+E19+E21+E23+перечень!E29</f>
        <v>#REF!</v>
      </c>
      <c r="F30" s="7" t="e">
        <f>F4+F5+F6+F8+F9+F10+F11+F14+F15+F16+F17+F19+F21+F23+перечень!F29</f>
        <v>#REF!</v>
      </c>
      <c r="G30" s="7" t="e">
        <f>G4+G5+G6+G8+G9+G10+G11+G14+G15+G16+G17+G19+G21+G23+перечень!G29</f>
        <v>#REF!</v>
      </c>
      <c r="H30" s="7" t="e">
        <f>H4+H5+H6+H8+H9+H10+H11+H14+H15+H16+H17+H19+H21+H23+перечень!H29</f>
        <v>#REF!</v>
      </c>
      <c r="I30" s="7" t="e">
        <f>I4+I5+I6+I8+I9+I10+I11+I14+I15+I16+I17+I19+I21+I23+перечень!I29</f>
        <v>#REF!</v>
      </c>
      <c r="J30" s="8" t="e">
        <f>H30/F30</f>
        <v>#REF!</v>
      </c>
      <c r="L30" s="28"/>
    </row>
    <row r="36" spans="2:10" x14ac:dyDescent="0.25">
      <c r="B36"/>
      <c r="E36" s="26" t="e">
        <f>E30='на 01.09.2016'!F9</f>
        <v>#REF!</v>
      </c>
      <c r="F36" s="26" t="e">
        <f>F30='на 01.09.2016'!G9</f>
        <v>#REF!</v>
      </c>
      <c r="G36" s="26" t="e">
        <f>G30='на 01.09.2016'!H9</f>
        <v>#REF!</v>
      </c>
      <c r="H36" s="26" t="e">
        <f>H30='на 01.09.2016'!J9</f>
        <v>#REF!</v>
      </c>
      <c r="I36" s="29" t="e">
        <f>'на 01.09.2016'!H9-'на 01.09.2016'!J9=перечень!I30</f>
        <v>#REF!</v>
      </c>
      <c r="J36" s="26" t="e">
        <f>J30='на 01.09.2016'!K9</f>
        <v>#REF!</v>
      </c>
    </row>
  </sheetData>
  <autoFilter ref="A3:D30"/>
  <customSheetViews>
    <customSheetView guid="{BEA0FDBA-BB07-4C19-8BBD-5E57EE395C09}"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1"/>
      <autoFilter ref="A3:D30"/>
    </customSheetView>
    <customSheetView guid="{A0A3CD9B-2436-40D7-91DB-589A95FBBF00}" scale="57" showPageBreaks="1" fitToPage="1" printArea="1" showAutoFilter="1">
      <selection activeCell="M13" sqref="M13"/>
      <pageMargins left="1.1023622047244095" right="0.70866141732283472" top="0.74803149606299213" bottom="0.74803149606299213" header="0.31496062992125984" footer="0.31496062992125984"/>
      <pageSetup paperSize="9" scale="52" fitToHeight="0" orientation="landscape" r:id="rId2"/>
      <autoFilter ref="A3:D30"/>
    </customSheetView>
    <customSheetView guid="{998B8119-4FF3-4A16-838D-539C6AE34D55}"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3"/>
      <autoFilter ref="A3:D30"/>
    </customSheetView>
    <customSheetView guid="{649E5CE3-4976-49D9-83DA-4E57FFC714BF}" scale="57" showPageBreaks="1" fitToPage="1" printArea="1" showAutoFilter="1" topLeftCell="A10">
      <selection activeCell="B23" sqref="B23"/>
      <pageMargins left="1.1023622047244095" right="0.70866141732283472" top="0.74803149606299213" bottom="0.74803149606299213" header="0.31496062992125984" footer="0.31496062992125984"/>
      <pageSetup paperSize="9" scale="52" fitToHeight="0" orientation="landscape" r:id="rId4"/>
      <autoFilter ref="A3:D30"/>
    </customSheetView>
    <customSheetView guid="{67ADFAE6-A9AF-44D7-8539-93CD0F6B7849}" scale="57" showPageBreaks="1" fitToPage="1" printArea="1" showAutoFilter="1">
      <selection activeCell="B16" sqref="B16"/>
      <pageMargins left="1.1023622047244095" right="0.70866141732283472" top="0.74803149606299213" bottom="0.74803149606299213" header="0.31496062992125984" footer="0.31496062992125984"/>
      <pageSetup paperSize="9" scale="52" fitToHeight="0" orientation="landscape" r:id="rId5"/>
      <autoFilter ref="A3:D30"/>
    </customSheetView>
    <customSheetView guid="{2F7AC811-CA37-46E3-866E-6E10DF43054A}" scale="57" showPageBreaks="1" fitToPage="1" printArea="1" showAutoFilter="1" topLeftCell="A7">
      <selection activeCell="B44" sqref="B44"/>
      <pageMargins left="1.1023622047244095" right="0.70866141732283472" top="0.74803149606299213" bottom="0.74803149606299213" header="0.31496062992125984" footer="0.31496062992125984"/>
      <pageSetup paperSize="8" scale="78" fitToHeight="0" orientation="landscape" r:id="rId6"/>
      <autoFilter ref="A3:D29"/>
    </customSheetView>
    <customSheetView guid="{CB1A56DC-A135-41E6-8A02-AE4E518C879F}" scale="57" showPageBreaks="1" fitToPage="1" printArea="1" showAutoFilter="1" topLeftCell="A13">
      <selection activeCell="B22" sqref="B22"/>
      <pageMargins left="1.1023622047244095" right="0.70866141732283472" top="0.74803149606299213" bottom="0.74803149606299213" header="0.31496062992125984" footer="0.31496062992125984"/>
      <pageSetup paperSize="8" scale="78" fitToHeight="0" orientation="landscape" r:id="rId7"/>
      <autoFilter ref="A3:D29"/>
    </customSheetView>
    <customSheetView guid="{F2110B0B-AAE7-42F0-B553-C360E9249AD4}"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8"/>
      <autoFilter ref="A3:D29"/>
    </customSheetView>
    <customSheetView guid="{D7BC8E82-4392-4806-9DAE-D94253790B9C}"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9"/>
      <autoFilter ref="A3:D29"/>
    </customSheetView>
    <customSheetView guid="{A6B98527-7CBF-4E4D-BDEA-9334A3EB779F}" scale="57" showPageBreaks="1" fitToPage="1" printArea="1" showAutoFilter="1">
      <selection activeCell="C4" sqref="C4:D11"/>
      <pageMargins left="1.1023622047244095" right="0.70866141732283472" top="0.74803149606299213" bottom="0.74803149606299213" header="0.31496062992125984" footer="0.31496062992125984"/>
      <pageSetup paperSize="8" scale="78" fitToHeight="0" orientation="landscape" r:id="rId10"/>
      <autoFilter ref="A3:D29"/>
    </customSheetView>
    <customSheetView guid="{D20DFCFE-63F9-4265-B37B-4F36C46DF159}" scale="57" showPageBreaks="1" fitToPage="1" printArea="1" showAutoFilter="1" topLeftCell="A7">
      <selection activeCell="B23" sqref="B23"/>
      <pageMargins left="1.1023622047244095" right="0.70866141732283472" top="0.74803149606299213" bottom="0.74803149606299213" header="0.31496062992125984" footer="0.31496062992125984"/>
      <pageSetup paperSize="8" scale="78" fitToHeight="0" orientation="landscape" r:id="rId11"/>
      <autoFilter ref="A3:D29"/>
    </customSheetView>
    <customSheetView guid="{539CB3DF-9B66-4BE7-9074-8CE0405EB8A6}" scale="57" showPageBreaks="1" fitToPage="1" printArea="1" showAutoFilter="1">
      <selection activeCell="E11" sqref="E11"/>
      <pageMargins left="1.1023622047244095" right="0.70866141732283472" top="0.74803149606299213" bottom="0.74803149606299213" header="0.31496062992125984" footer="0.31496062992125984"/>
      <pageSetup paperSize="9" scale="52" fitToHeight="0" orientation="landscape" r:id="rId12"/>
      <autoFilter ref="A3:D30"/>
    </customSheetView>
    <customSheetView guid="{D95852A1-B0FC-4AC5-B62B-5CCBE05B0D15}"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13"/>
      <autoFilter ref="A3:D30"/>
    </customSheetView>
    <customSheetView guid="{45DE1976-7F07-4EB4-8A9C-FB72D060BEFA}" scale="57" showPageBreaks="1" fitToPage="1" printArea="1" showAutoFilter="1">
      <selection activeCell="B16" sqref="B16"/>
      <pageMargins left="1.1023622047244095" right="0.70866141732283472" top="0.74803149606299213" bottom="0.74803149606299213" header="0.31496062992125984" footer="0.31496062992125984"/>
      <pageSetup paperSize="9" scale="52" fitToHeight="0" orientation="landscape" r:id="rId14"/>
      <autoFilter ref="A3:D30"/>
    </customSheetView>
    <customSheetView guid="{7B245AB0-C2AF-4822-BFC4-2399F85856C1}"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15"/>
      <autoFilter ref="A3:D30"/>
    </customSheetView>
    <customSheetView guid="{5FB953A5-71FF-4056-AF98-C9D06FF0EDF3}" scale="57" showPageBreaks="1" fitToPage="1" printArea="1" showAutoFilter="1" topLeftCell="A8">
      <selection activeCell="E11" sqref="E11"/>
      <pageMargins left="1.1023622047244095" right="0.70866141732283472" top="0.74803149606299213" bottom="0.74803149606299213" header="0.31496062992125984" footer="0.31496062992125984"/>
      <pageSetup paperSize="9" scale="52" fitToHeight="0" orientation="landscape" r:id="rId16"/>
      <autoFilter ref="A3:D30"/>
    </customSheetView>
  </customSheetViews>
  <mergeCells count="14">
    <mergeCell ref="A1:J1"/>
    <mergeCell ref="E24:J24"/>
    <mergeCell ref="E7:J7"/>
    <mergeCell ref="A30:C30"/>
    <mergeCell ref="E12:J12"/>
    <mergeCell ref="E20:J20"/>
    <mergeCell ref="E22:J22"/>
    <mergeCell ref="E26:J26"/>
    <mergeCell ref="E13:J13"/>
    <mergeCell ref="E27:J27"/>
    <mergeCell ref="E28:J28"/>
    <mergeCell ref="E18:J18"/>
    <mergeCell ref="E25:J25"/>
    <mergeCell ref="E17:J17"/>
  </mergeCells>
  <pageMargins left="1.1023622047244095" right="0.70866141732283472" top="0.74803149606299213" bottom="0.74803149606299213" header="0.31496062992125984" footer="0.31496062992125984"/>
  <pageSetup paperSize="9" scale="52" fitToHeight="0" orientation="landscape" r:id="rId1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8"/>
  <sheetViews>
    <sheetView zoomScale="42" zoomScaleNormal="42" workbookViewId="0">
      <selection activeCell="B2" sqref="B2"/>
    </sheetView>
  </sheetViews>
  <sheetFormatPr defaultRowHeight="26.25" outlineLevelRow="1" outlineLevelCol="2" x14ac:dyDescent="0.4"/>
  <cols>
    <col min="1" max="1" width="16" style="139" customWidth="1"/>
    <col min="2" max="2" width="77" style="40" customWidth="1"/>
    <col min="3" max="3" width="25.25" style="40" hidden="1" customWidth="1"/>
    <col min="4" max="4" width="22.5" style="40" hidden="1" customWidth="1"/>
    <col min="5" max="5" width="24.125" style="40" hidden="1" customWidth="1"/>
    <col min="6" max="6" width="26.375" style="140" customWidth="1"/>
    <col min="7" max="7" width="25.125" style="140" customWidth="1"/>
    <col min="8" max="8" width="22.625" style="141" customWidth="1" outlineLevel="2"/>
    <col min="9" max="9" width="19.75" style="142" customWidth="1" outlineLevel="2"/>
    <col min="10" max="10" width="24.25" style="140" customWidth="1" outlineLevel="2"/>
    <col min="11" max="11" width="22.625" style="142" customWidth="1" outlineLevel="2"/>
    <col min="12" max="12" width="24.125" style="143" customWidth="1" outlineLevel="2"/>
    <col min="13" max="14" width="23.75" style="143" hidden="1" customWidth="1" outlineLevel="2"/>
    <col min="15" max="15" width="23.75" style="143" customWidth="1" outlineLevel="2"/>
    <col min="16" max="16" width="149.125" style="82" customWidth="1"/>
    <col min="17" max="17" width="32.5" style="40" customWidth="1"/>
    <col min="18" max="18" width="19.625" style="40" customWidth="1"/>
    <col min="19" max="19" width="15.75" style="40" customWidth="1"/>
    <col min="20" max="80" width="9" style="40" customWidth="1"/>
    <col min="81" max="16384" width="9" style="40"/>
  </cols>
  <sheetData>
    <row r="1" spans="1:17" ht="30.75" x14ac:dyDescent="0.45">
      <c r="A1" s="34"/>
      <c r="B1" s="35"/>
      <c r="C1" s="35"/>
      <c r="D1" s="35"/>
      <c r="E1" s="35"/>
      <c r="F1" s="36"/>
      <c r="G1" s="36"/>
      <c r="H1" s="37"/>
      <c r="I1" s="38"/>
      <c r="J1" s="36"/>
      <c r="K1" s="38"/>
      <c r="L1" s="39"/>
      <c r="M1" s="39"/>
      <c r="N1" s="39"/>
      <c r="O1" s="39"/>
      <c r="P1" s="33" t="s">
        <v>125</v>
      </c>
    </row>
    <row r="2" spans="1:17" ht="30.75" x14ac:dyDescent="0.45">
      <c r="A2" s="34"/>
      <c r="B2" s="35"/>
      <c r="C2" s="35"/>
      <c r="D2" s="35"/>
      <c r="E2" s="35"/>
      <c r="F2" s="36"/>
      <c r="G2" s="36"/>
      <c r="H2" s="37"/>
      <c r="I2" s="38"/>
      <c r="J2" s="36"/>
      <c r="K2" s="38"/>
      <c r="L2" s="39"/>
      <c r="M2" s="39"/>
      <c r="N2" s="39"/>
      <c r="O2" s="39"/>
      <c r="P2" s="33" t="s">
        <v>126</v>
      </c>
    </row>
    <row r="3" spans="1:17" ht="409.5" x14ac:dyDescent="0.4">
      <c r="A3" s="259" t="s">
        <v>129</v>
      </c>
      <c r="B3"/>
      <c r="C3"/>
      <c r="D3"/>
      <c r="E3"/>
      <c r="F3"/>
      <c r="G3"/>
      <c r="H3"/>
      <c r="I3"/>
      <c r="J3"/>
      <c r="K3"/>
      <c r="L3"/>
      <c r="M3"/>
      <c r="N3"/>
      <c r="O3"/>
      <c r="P3"/>
    </row>
    <row r="4" spans="1:17" s="35" customFormat="1" x14ac:dyDescent="0.4">
      <c r="A4" s="41"/>
      <c r="B4" s="42"/>
      <c r="C4" s="41"/>
      <c r="D4" s="41"/>
      <c r="E4" s="41"/>
      <c r="F4" s="42"/>
      <c r="G4" s="42"/>
      <c r="H4" s="42"/>
      <c r="I4" s="42"/>
      <c r="J4" s="42"/>
      <c r="K4" s="43"/>
      <c r="L4" s="44"/>
      <c r="M4" s="45"/>
      <c r="N4" s="45"/>
      <c r="O4" s="45"/>
      <c r="P4" s="30" t="s">
        <v>54</v>
      </c>
    </row>
    <row r="5" spans="1:17" s="46" customFormat="1" ht="72.75" customHeight="1" x14ac:dyDescent="0.25">
      <c r="A5" s="261" t="s">
        <v>3</v>
      </c>
      <c r="B5" s="261" t="s">
        <v>8</v>
      </c>
      <c r="C5" s="262" t="s">
        <v>17</v>
      </c>
      <c r="D5" s="262" t="s">
        <v>18</v>
      </c>
      <c r="E5" s="262" t="s">
        <v>19</v>
      </c>
      <c r="F5" s="264" t="s">
        <v>127</v>
      </c>
      <c r="G5"/>
      <c r="H5" s="269" t="s">
        <v>161</v>
      </c>
      <c r="I5"/>
      <c r="J5"/>
      <c r="K5"/>
      <c r="L5" s="266" t="s">
        <v>66</v>
      </c>
      <c r="M5" s="266"/>
      <c r="N5" s="266"/>
      <c r="O5" s="266" t="s">
        <v>123</v>
      </c>
      <c r="P5" s="261" t="s">
        <v>122</v>
      </c>
    </row>
    <row r="6" spans="1:17" s="46" customFormat="1" ht="69.75" customHeight="1" x14ac:dyDescent="0.25">
      <c r="A6"/>
      <c r="B6"/>
      <c r="C6"/>
      <c r="D6"/>
      <c r="E6"/>
      <c r="F6" s="265" t="s">
        <v>64</v>
      </c>
      <c r="G6" s="262" t="s">
        <v>65</v>
      </c>
      <c r="H6" s="260" t="s">
        <v>7</v>
      </c>
      <c r="I6"/>
      <c r="J6" s="260" t="s">
        <v>6</v>
      </c>
      <c r="K6"/>
      <c r="L6"/>
      <c r="M6" s="267"/>
      <c r="N6" s="267"/>
      <c r="O6"/>
      <c r="P6"/>
    </row>
    <row r="7" spans="1:17" s="46" customFormat="1" ht="105" x14ac:dyDescent="0.25">
      <c r="A7"/>
      <c r="B7"/>
      <c r="C7"/>
      <c r="D7"/>
      <c r="E7"/>
      <c r="F7"/>
      <c r="G7"/>
      <c r="H7" s="47" t="s">
        <v>0</v>
      </c>
      <c r="I7" s="48" t="s">
        <v>12</v>
      </c>
      <c r="J7" s="49" t="s">
        <v>9</v>
      </c>
      <c r="K7" s="50" t="s">
        <v>2</v>
      </c>
      <c r="L7"/>
      <c r="M7" s="268"/>
      <c r="N7" s="268"/>
      <c r="O7"/>
      <c r="P7"/>
    </row>
    <row r="8" spans="1:17" s="58" customFormat="1" x14ac:dyDescent="0.25">
      <c r="A8" s="51">
        <v>1</v>
      </c>
      <c r="B8" s="51">
        <v>2</v>
      </c>
      <c r="C8" s="52">
        <v>4</v>
      </c>
      <c r="D8" s="53">
        <v>5</v>
      </c>
      <c r="E8" s="53">
        <v>6</v>
      </c>
      <c r="F8" s="52">
        <v>3</v>
      </c>
      <c r="G8" s="53">
        <v>4</v>
      </c>
      <c r="H8" s="54">
        <v>5</v>
      </c>
      <c r="I8" s="52">
        <v>6</v>
      </c>
      <c r="J8" s="52">
        <v>7</v>
      </c>
      <c r="K8" s="55">
        <v>8</v>
      </c>
      <c r="L8" s="56">
        <v>9</v>
      </c>
      <c r="M8" s="57"/>
      <c r="N8" s="57"/>
      <c r="O8" s="57">
        <v>10</v>
      </c>
      <c r="P8" s="56">
        <v>11</v>
      </c>
    </row>
    <row r="9" spans="1:17" s="63" customFormat="1" ht="76.5" x14ac:dyDescent="0.25">
      <c r="A9" s="261"/>
      <c r="B9" s="59" t="s">
        <v>48</v>
      </c>
      <c r="C9" s="60" t="e">
        <f>C10+C11+#REF!+C14</f>
        <v>#REF!</v>
      </c>
      <c r="D9" s="60" t="e">
        <f>D10+D11+#REF!+D14</f>
        <v>#REF!</v>
      </c>
      <c r="E9" s="60" t="e">
        <f>E10+E11+#REF!+#REF!+E14</f>
        <v>#REF!</v>
      </c>
      <c r="F9" s="60">
        <f>SUM(F10:F14)</f>
        <v>11681240.58</v>
      </c>
      <c r="G9" s="60">
        <f t="shared" ref="G9:O9" si="0">SUM(G10:G14)</f>
        <v>12186700.01</v>
      </c>
      <c r="H9" s="60">
        <f>SUM(H10:H14)</f>
        <v>6213428.6600000001</v>
      </c>
      <c r="I9" s="60">
        <f>H9/G9*100</f>
        <v>50.99</v>
      </c>
      <c r="J9" s="60">
        <f t="shared" si="0"/>
        <v>6054432.8399999999</v>
      </c>
      <c r="K9" s="60">
        <f>J9/G9*100</f>
        <v>49.68</v>
      </c>
      <c r="L9" s="60">
        <f t="shared" si="0"/>
        <v>10526351.300000001</v>
      </c>
      <c r="M9" s="60">
        <f t="shared" si="0"/>
        <v>1611089</v>
      </c>
      <c r="N9" s="60">
        <f t="shared" si="0"/>
        <v>0</v>
      </c>
      <c r="O9" s="60">
        <f t="shared" si="0"/>
        <v>65977.83</v>
      </c>
      <c r="P9" s="62"/>
      <c r="Q9" s="61" t="e">
        <f>O15+O21+O27+O33+O34+O40+O46+O52+O58+O59+#REF!+O138+O144+O150+O156+O162+O168+O169+O175+O176+O182+O183+O184+O185+O186+#REF!</f>
        <v>#REF!</v>
      </c>
    </row>
    <row r="10" spans="1:17" s="67" customFormat="1" x14ac:dyDescent="0.25">
      <c r="A10"/>
      <c r="B10" s="64" t="s">
        <v>4</v>
      </c>
      <c r="C10" s="60" t="e">
        <f>#REF!+#REF!+#REF!+#REF!+#REF!+#REF!+#REF!+#REF!+#REF!+#REF!+#REF!+#REF!+#REF!+#REF!+#REF!+#REF!+#REF!+#REF!+#REF!+#REF!+#REF!+#REF!</f>
        <v>#REF!</v>
      </c>
      <c r="D10" s="60" t="e">
        <f>#REF!+#REF!+#REF!+#REF!+#REF!+#REF!+#REF!+#REF!+#REF!+#REF!+#REF!+#REF!+#REF!+#REF!+#REF!+#REF!+#REF!+#REF!+#REF!+#REF!+#REF!+#REF!</f>
        <v>#REF!</v>
      </c>
      <c r="E10" s="60" t="e">
        <f>#REF!+#REF!+#REF!+#REF!+#REF!+#REF!+#REF!+#REF!+#REF!+#REF!+#REF!+#REF!+#REF!+#REF!+#REF!+#REF!+#REF!+#REF!+#REF!+#REF!+#REF!+#REF!</f>
        <v>#REF!</v>
      </c>
      <c r="F10" s="60">
        <f t="shared" ref="F10:O14" si="1">F16+F22+F28+F35+F41+F47+F53+F61+F139+F145+F163+F170+F177</f>
        <v>33969.800000000003</v>
      </c>
      <c r="G10" s="60">
        <f t="shared" si="1"/>
        <v>37428.83</v>
      </c>
      <c r="H10" s="60">
        <f t="shared" si="1"/>
        <v>25139.38</v>
      </c>
      <c r="I10" s="60">
        <f t="shared" ref="I10:I14" si="2">H10/G10*100</f>
        <v>67.17</v>
      </c>
      <c r="J10" s="60">
        <f t="shared" si="1"/>
        <v>14992.68</v>
      </c>
      <c r="K10" s="60">
        <f t="shared" ref="K10:K14" si="3">J10/G10*100</f>
        <v>40.06</v>
      </c>
      <c r="L10" s="60">
        <f t="shared" si="1"/>
        <v>30432.7</v>
      </c>
      <c r="M10" s="60">
        <f t="shared" si="1"/>
        <v>17057.03</v>
      </c>
      <c r="N10" s="60">
        <f t="shared" si="1"/>
        <v>0</v>
      </c>
      <c r="O10" s="60">
        <f t="shared" si="1"/>
        <v>1</v>
      </c>
      <c r="P10" s="66"/>
    </row>
    <row r="11" spans="1:17" s="67" customFormat="1" x14ac:dyDescent="0.25">
      <c r="A11"/>
      <c r="B11" s="64" t="s">
        <v>16</v>
      </c>
      <c r="C11" s="60" t="e">
        <f>C41++C20+#REF!+#REF!+#REF!+#REF!+#REF!+#REF!+#REF!+#REF!+#REF!+#REF!+#REF!+#REF!+#REF!+#REF!+#REF!+#REF!+#REF!+#REF!+#REF!+#REF!</f>
        <v>#REF!</v>
      </c>
      <c r="D11" s="60" t="e">
        <f>D41++D20+#REF!+#REF!+#REF!+#REF!+#REF!+#REF!+#REF!+#REF!+#REF!+#REF!+#REF!+#REF!+#REF!+#REF!+#REF!+#REF!+#REF!+#REF!+#REF!+#REF!</f>
        <v>#REF!</v>
      </c>
      <c r="E11" s="60" t="e">
        <f>E41++E20+#REF!+#REF!+#REF!+#REF!+#REF!+#REF!+#REF!+#REF!+#REF!+#REF!+#REF!+#REF!+#REF!+#REF!+#REF!+#REF!+#REF!+#REF!+#REF!+#REF!</f>
        <v>#REF!</v>
      </c>
      <c r="F11" s="60">
        <f t="shared" si="1"/>
        <v>11202062.84</v>
      </c>
      <c r="G11" s="60">
        <f t="shared" si="1"/>
        <v>11700330.880000001</v>
      </c>
      <c r="H11" s="60">
        <f t="shared" si="1"/>
        <v>6009607.96</v>
      </c>
      <c r="I11" s="60">
        <f t="shared" si="2"/>
        <v>51.36</v>
      </c>
      <c r="J11" s="60">
        <f t="shared" si="1"/>
        <v>5857998.6799999997</v>
      </c>
      <c r="K11" s="60">
        <f t="shared" si="3"/>
        <v>50.07</v>
      </c>
      <c r="L11" s="60">
        <f t="shared" si="1"/>
        <v>10204743.970000001</v>
      </c>
      <c r="M11" s="60">
        <f t="shared" si="1"/>
        <v>1437380.31</v>
      </c>
      <c r="N11" s="60">
        <f t="shared" si="1"/>
        <v>0</v>
      </c>
      <c r="O11" s="60">
        <f t="shared" si="1"/>
        <v>64407.32</v>
      </c>
      <c r="P11" s="66"/>
    </row>
    <row r="12" spans="1:17" s="67" customFormat="1" x14ac:dyDescent="0.25">
      <c r="A12"/>
      <c r="B12" s="64" t="s">
        <v>11</v>
      </c>
      <c r="C12" s="60" t="e">
        <f>#REF!+#REF!+#REF!+#REF!+#REF!+#REF!+#REF!+#REF!+#REF!+#REF!+#REF!+#REF!+#REF!+#REF!+#REF!+#REF!+#REF!+#REF!+C44+#REF!+#REF!+#REF!+#REF!</f>
        <v>#REF!</v>
      </c>
      <c r="D12" s="60" t="e">
        <f>#REF!+#REF!+#REF!+#REF!+#REF!+#REF!+#REF!+#REF!+#REF!+#REF!+#REF!+#REF!+#REF!+#REF!+#REF!+#REF!+#REF!+#REF!+D44+#REF!+#REF!+#REF!+#REF!</f>
        <v>#REF!</v>
      </c>
      <c r="E12" s="60" t="e">
        <f>#REF!+#REF!+#REF!+#REF!+#REF!+#REF!+#REF!+#REF!+#REF!+#REF!+#REF!+#REF!+#REF!+#REF!+#REF!+#REF!+#REF!+#REF!+E44+#REF!+#REF!+#REF!+#REF!</f>
        <v>#REF!</v>
      </c>
      <c r="F12" s="60">
        <f t="shared" si="1"/>
        <v>305011.38</v>
      </c>
      <c r="G12" s="60">
        <f t="shared" si="1"/>
        <v>308856.77</v>
      </c>
      <c r="H12" s="60">
        <f t="shared" si="1"/>
        <v>146481.51</v>
      </c>
      <c r="I12" s="60">
        <f t="shared" si="2"/>
        <v>47.43</v>
      </c>
      <c r="J12" s="60">
        <f t="shared" si="1"/>
        <v>149241.67000000001</v>
      </c>
      <c r="K12" s="60">
        <f t="shared" si="3"/>
        <v>48.32</v>
      </c>
      <c r="L12" s="60">
        <f t="shared" si="1"/>
        <v>153964.20000000001</v>
      </c>
      <c r="M12" s="60">
        <f t="shared" si="1"/>
        <v>154895.75</v>
      </c>
      <c r="N12" s="60">
        <f t="shared" si="1"/>
        <v>0</v>
      </c>
      <c r="O12" s="60">
        <f t="shared" si="1"/>
        <v>451.32</v>
      </c>
      <c r="P12" s="66"/>
    </row>
    <row r="13" spans="1:17" s="67" customFormat="1" x14ac:dyDescent="0.25">
      <c r="A13"/>
      <c r="B13" s="64" t="s">
        <v>13</v>
      </c>
      <c r="C13" s="60" t="e">
        <f>#REF!+#REF!+#REF!+#REF!+#REF!+#REF!+#REF!+#REF!+#REF!+#REF!+#REF!+#REF!+#REF!+#REF!+#REF!+#REF!+#REF!+#REF!+C45+#REF!+#REF!+#REF!+#REF!</f>
        <v>#REF!</v>
      </c>
      <c r="D13" s="60" t="e">
        <f>#REF!+#REF!+#REF!+#REF!+#REF!+#REF!+#REF!+#REF!+#REF!+#REF!+#REF!+#REF!+#REF!+#REF!+#REF!+#REF!+#REF!+#REF!+D45+#REF!+#REF!+#REF!+#REF!</f>
        <v>#REF!</v>
      </c>
      <c r="E13" s="60" t="e">
        <f>#REF!+#REF!+#REF!+#REF!+#REF!+#REF!+#REF!+#REF!+#REF!+#REF!+#REF!+#REF!+#REF!+#REF!+#REF!+#REF!+#REF!+#REF!+E45+#REF!+#REF!+#REF!+#REF!</f>
        <v>#REF!</v>
      </c>
      <c r="F13" s="60">
        <f t="shared" si="1"/>
        <v>30980.63</v>
      </c>
      <c r="G13" s="60">
        <f t="shared" si="1"/>
        <v>30827.03</v>
      </c>
      <c r="H13" s="60">
        <f t="shared" si="1"/>
        <v>12559.77</v>
      </c>
      <c r="I13" s="60">
        <f t="shared" si="2"/>
        <v>40.74</v>
      </c>
      <c r="J13" s="60">
        <f t="shared" si="1"/>
        <v>12559.77</v>
      </c>
      <c r="K13" s="60">
        <f t="shared" si="3"/>
        <v>40.74</v>
      </c>
      <c r="L13" s="60">
        <f t="shared" si="1"/>
        <v>29071.119999999999</v>
      </c>
      <c r="M13" s="60">
        <f t="shared" si="1"/>
        <v>1755.91</v>
      </c>
      <c r="N13" s="60">
        <f t="shared" si="1"/>
        <v>0</v>
      </c>
      <c r="O13" s="60">
        <f t="shared" si="1"/>
        <v>1</v>
      </c>
      <c r="P13" s="66"/>
    </row>
    <row r="14" spans="1:17" s="67" customFormat="1" x14ac:dyDescent="0.25">
      <c r="A14"/>
      <c r="B14" s="64" t="s">
        <v>5</v>
      </c>
      <c r="C14" s="60" t="e">
        <f>#REF!+#REF!+#REF!+#REF!+#REF!+#REF!+#REF!+#REF!+#REF!+#REF!+#REF!+#REF!+#REF!+#REF!+#REF!+#REF!+#REF!+#REF!+#REF!+#REF!+#REF!</f>
        <v>#REF!</v>
      </c>
      <c r="D14" s="60" t="e">
        <f>#REF!+#REF!+#REF!+#REF!+#REF!+#REF!+#REF!+#REF!+#REF!+#REF!+#REF!+#REF!+#REF!+#REF!+#REF!+#REF!+#REF!+#REF!+#REF!+#REF!+#REF!</f>
        <v>#REF!</v>
      </c>
      <c r="E14" s="60" t="e">
        <f>#REF!+#REF!+#REF!+#REF!+#REF!+#REF!+#REF!+#REF!+#REF!+#REF!+#REF!+#REF!+#REF!+#REF!+#REF!+#REF!+#REF!+#REF!+#REF!+#REF!+#REF!</f>
        <v>#REF!</v>
      </c>
      <c r="F14" s="60">
        <f t="shared" si="1"/>
        <v>109215.93</v>
      </c>
      <c r="G14" s="60">
        <f t="shared" si="1"/>
        <v>109256.5</v>
      </c>
      <c r="H14" s="60">
        <f t="shared" si="1"/>
        <v>19640.04</v>
      </c>
      <c r="I14" s="60">
        <f t="shared" si="2"/>
        <v>17.98</v>
      </c>
      <c r="J14" s="60">
        <f t="shared" si="1"/>
        <v>19640.04</v>
      </c>
      <c r="K14" s="60">
        <f t="shared" si="3"/>
        <v>17.98</v>
      </c>
      <c r="L14" s="60">
        <f t="shared" si="1"/>
        <v>108139.31</v>
      </c>
      <c r="M14" s="60">
        <f t="shared" si="1"/>
        <v>0</v>
      </c>
      <c r="N14" s="60">
        <f t="shared" si="1"/>
        <v>0</v>
      </c>
      <c r="O14" s="60">
        <f t="shared" si="1"/>
        <v>1117.19</v>
      </c>
      <c r="P14" s="68"/>
    </row>
    <row r="15" spans="1:17" s="73" customFormat="1" ht="63" customHeight="1" x14ac:dyDescent="0.25">
      <c r="A15" s="277" t="s">
        <v>56</v>
      </c>
      <c r="B15" s="69" t="s">
        <v>72</v>
      </c>
      <c r="C15" s="61" t="e">
        <f>SUM(C20:C20)</f>
        <v>#REF!</v>
      </c>
      <c r="D15" s="61" t="e">
        <f>SUM(D20:D20)</f>
        <v>#REF!</v>
      </c>
      <c r="E15" s="61" t="e">
        <f>SUM(E20:E20)</f>
        <v>#REF!</v>
      </c>
      <c r="F15" s="61">
        <f>F16+F17+F18+F19+F20</f>
        <v>162038.70000000001</v>
      </c>
      <c r="G15" s="61">
        <f t="shared" ref="G15:J15" si="4">G16+G17+G18+G19+G20</f>
        <v>162038.70000000001</v>
      </c>
      <c r="H15" s="61">
        <f t="shared" si="4"/>
        <v>84460.44</v>
      </c>
      <c r="I15" s="70">
        <f>H15/G15</f>
        <v>0.52</v>
      </c>
      <c r="J15" s="61">
        <f t="shared" si="4"/>
        <v>84420.44</v>
      </c>
      <c r="K15" s="151">
        <f>J15/G15</f>
        <v>0.52</v>
      </c>
      <c r="L15" s="61">
        <f t="shared" ref="L15:O15" si="5">L16+L17+L18+L19+L20</f>
        <v>162038.70000000001</v>
      </c>
      <c r="M15" s="61">
        <f t="shared" si="5"/>
        <v>0</v>
      </c>
      <c r="N15" s="61">
        <f t="shared" si="5"/>
        <v>0</v>
      </c>
      <c r="O15" s="61">
        <f t="shared" si="5"/>
        <v>0</v>
      </c>
      <c r="P15" s="272" t="s">
        <v>164</v>
      </c>
    </row>
    <row r="16" spans="1:17" s="73" customFormat="1" ht="63" customHeight="1" x14ac:dyDescent="0.25">
      <c r="A16" s="278"/>
      <c r="B16" s="64" t="s">
        <v>4</v>
      </c>
      <c r="C16" s="61"/>
      <c r="D16" s="61"/>
      <c r="E16" s="61"/>
      <c r="F16" s="147"/>
      <c r="G16" s="147"/>
      <c r="H16" s="147"/>
      <c r="I16" s="148"/>
      <c r="J16" s="147"/>
      <c r="K16" s="149"/>
      <c r="L16" s="147"/>
      <c r="M16" s="150"/>
      <c r="N16" s="150"/>
      <c r="O16" s="147"/>
      <c r="P16"/>
    </row>
    <row r="17" spans="1:16" s="73" customFormat="1" ht="63" customHeight="1" x14ac:dyDescent="0.25">
      <c r="A17" s="278"/>
      <c r="B17" s="64" t="s">
        <v>16</v>
      </c>
      <c r="C17" s="61"/>
      <c r="D17" s="61"/>
      <c r="E17" s="61"/>
      <c r="F17" s="147">
        <v>162038.70000000001</v>
      </c>
      <c r="G17" s="147">
        <v>162038.70000000001</v>
      </c>
      <c r="H17" s="147">
        <v>84460.44</v>
      </c>
      <c r="I17" s="148">
        <f>H17/G17</f>
        <v>0.52</v>
      </c>
      <c r="J17" s="147">
        <v>84420.44</v>
      </c>
      <c r="K17" s="149">
        <f>J17/G17</f>
        <v>0.52</v>
      </c>
      <c r="L17" s="147">
        <v>162038.70000000001</v>
      </c>
      <c r="M17" s="150"/>
      <c r="N17" s="150"/>
      <c r="O17" s="147">
        <f>G17-L17</f>
        <v>0</v>
      </c>
      <c r="P17"/>
    </row>
    <row r="18" spans="1:16" s="73" customFormat="1" ht="63" customHeight="1" x14ac:dyDescent="0.25">
      <c r="A18" s="278"/>
      <c r="B18" s="64" t="s">
        <v>11</v>
      </c>
      <c r="C18" s="61"/>
      <c r="D18" s="61"/>
      <c r="E18" s="61"/>
      <c r="F18" s="147"/>
      <c r="G18" s="147"/>
      <c r="H18" s="147"/>
      <c r="I18" s="148"/>
      <c r="J18" s="147"/>
      <c r="K18" s="149"/>
      <c r="L18" s="147"/>
      <c r="M18" s="150"/>
      <c r="N18" s="150"/>
      <c r="O18" s="147"/>
      <c r="P18"/>
    </row>
    <row r="19" spans="1:16" s="73" customFormat="1" ht="63" customHeight="1" x14ac:dyDescent="0.25">
      <c r="A19" s="278"/>
      <c r="B19" s="64" t="s">
        <v>13</v>
      </c>
      <c r="C19" s="61"/>
      <c r="D19" s="61"/>
      <c r="E19" s="61"/>
      <c r="F19" s="147"/>
      <c r="G19" s="147"/>
      <c r="H19" s="147"/>
      <c r="I19" s="148"/>
      <c r="J19" s="147"/>
      <c r="K19" s="149"/>
      <c r="L19" s="147"/>
      <c r="M19" s="150"/>
      <c r="N19" s="150"/>
      <c r="O19" s="147"/>
      <c r="P19"/>
    </row>
    <row r="20" spans="1:16" s="77" customFormat="1" ht="63" customHeight="1" x14ac:dyDescent="0.25">
      <c r="A20" s="278"/>
      <c r="B20" s="64" t="s">
        <v>5</v>
      </c>
      <c r="C20" s="65" t="e">
        <f>#REF!+#REF!+#REF!+#REF!+#REF!+#REF!+#REF!+#REF!+#REF!</f>
        <v>#REF!</v>
      </c>
      <c r="D20" s="65" t="e">
        <f>#REF!+#REF!+#REF!+#REF!+#REF!+#REF!+#REF!+#REF!+#REF!</f>
        <v>#REF!</v>
      </c>
      <c r="E20" s="65" t="e">
        <f>#REF!+#REF!+#REF!+#REF!+#REF!+#REF!+#REF!+#REF!+#REF!</f>
        <v>#REF!</v>
      </c>
      <c r="F20" s="147"/>
      <c r="G20" s="147"/>
      <c r="H20" s="147"/>
      <c r="I20" s="148"/>
      <c r="J20" s="147"/>
      <c r="K20" s="149"/>
      <c r="L20" s="147"/>
      <c r="M20" s="150"/>
      <c r="N20" s="150"/>
      <c r="O20" s="147"/>
      <c r="P20"/>
    </row>
    <row r="21" spans="1:16" s="82" customFormat="1" ht="130.5" customHeight="1" x14ac:dyDescent="0.4">
      <c r="A21" s="78" t="s">
        <v>14</v>
      </c>
      <c r="B21" s="69" t="s">
        <v>71</v>
      </c>
      <c r="C21" s="61" t="e">
        <f>SUM(C24:C26)</f>
        <v>#REF!</v>
      </c>
      <c r="D21" s="61" t="e">
        <f>SUM(D24:D26)</f>
        <v>#REF!</v>
      </c>
      <c r="E21" s="61" t="e">
        <f>SUM(E24:E26)</f>
        <v>#REF!</v>
      </c>
      <c r="F21" s="61">
        <f>F22+F23+F24</f>
        <v>8362444.0300000003</v>
      </c>
      <c r="G21" s="61">
        <f t="shared" ref="G21:H21" si="6">G22+G23+G24</f>
        <v>8415365.1300000008</v>
      </c>
      <c r="H21" s="61">
        <f t="shared" si="6"/>
        <v>4540501.3899999997</v>
      </c>
      <c r="I21" s="70">
        <f>H21/G21</f>
        <v>0.54</v>
      </c>
      <c r="J21" s="61">
        <f>J22+J23+J24</f>
        <v>4499255.68</v>
      </c>
      <c r="K21" s="151">
        <f>J21/G21</f>
        <v>0.53</v>
      </c>
      <c r="L21" s="61">
        <f>L22+L23+L24</f>
        <v>8375030</v>
      </c>
      <c r="M21" s="61">
        <f t="shared" ref="M21:O21" si="7">M22+M23+M24</f>
        <v>0</v>
      </c>
      <c r="N21" s="61">
        <f t="shared" si="7"/>
        <v>0</v>
      </c>
      <c r="O21" s="61">
        <f t="shared" si="7"/>
        <v>40335.129999999997</v>
      </c>
      <c r="P21" s="273" t="s">
        <v>165</v>
      </c>
    </row>
    <row r="22" spans="1:16" s="82" customFormat="1" ht="90.75" customHeight="1" x14ac:dyDescent="0.4">
      <c r="A22" s="83"/>
      <c r="B22" s="64" t="s">
        <v>4</v>
      </c>
      <c r="C22" s="84"/>
      <c r="D22" s="84"/>
      <c r="E22" s="84"/>
      <c r="F22" s="84"/>
      <c r="G22" s="84"/>
      <c r="H22" s="84"/>
      <c r="I22" s="79"/>
      <c r="J22" s="61"/>
      <c r="K22" s="80"/>
      <c r="L22" s="61"/>
      <c r="M22" s="85"/>
      <c r="N22" s="85"/>
      <c r="O22" s="81"/>
      <c r="P22"/>
    </row>
    <row r="23" spans="1:16" s="82" customFormat="1" ht="90.75" customHeight="1" x14ac:dyDescent="0.4">
      <c r="A23" s="83"/>
      <c r="B23" s="64" t="s">
        <v>16</v>
      </c>
      <c r="C23" s="84"/>
      <c r="D23" s="84"/>
      <c r="E23" s="84"/>
      <c r="F23" s="176">
        <v>8340663.5</v>
      </c>
      <c r="G23" s="176">
        <v>8393584.5999999996</v>
      </c>
      <c r="H23" s="176">
        <v>4534793</v>
      </c>
      <c r="I23" s="148">
        <f>H23/G23</f>
        <v>0.54</v>
      </c>
      <c r="J23" s="147">
        <v>4493547.29</v>
      </c>
      <c r="K23" s="149">
        <f>J23/G23</f>
        <v>0.54</v>
      </c>
      <c r="L23" s="147">
        <f>8352949.47+300</f>
        <v>8353249.4699999997</v>
      </c>
      <c r="M23" s="177"/>
      <c r="N23" s="177"/>
      <c r="O23" s="147">
        <f>G23-L23</f>
        <v>40335.129999999997</v>
      </c>
      <c r="P23"/>
    </row>
    <row r="24" spans="1:16" s="82" customFormat="1" ht="90.75" customHeight="1" x14ac:dyDescent="0.4">
      <c r="A24" s="86"/>
      <c r="B24" s="64" t="s">
        <v>11</v>
      </c>
      <c r="C24" s="87" t="e">
        <f>#REF!</f>
        <v>#REF!</v>
      </c>
      <c r="D24" s="87" t="e">
        <f>#REF!</f>
        <v>#REF!</v>
      </c>
      <c r="E24" s="87" t="e">
        <f>#REF!</f>
        <v>#REF!</v>
      </c>
      <c r="F24" s="87">
        <v>21780.53</v>
      </c>
      <c r="G24" s="87">
        <v>21780.53</v>
      </c>
      <c r="H24" s="87">
        <v>5708.39</v>
      </c>
      <c r="I24" s="148">
        <f>H24/G24</f>
        <v>0.26</v>
      </c>
      <c r="J24" s="65">
        <v>5708.39</v>
      </c>
      <c r="K24" s="149">
        <f>J24/G24</f>
        <v>0.26</v>
      </c>
      <c r="L24" s="65">
        <v>21780.53</v>
      </c>
      <c r="M24" s="76"/>
      <c r="N24" s="76"/>
      <c r="O24" s="88"/>
      <c r="P24"/>
    </row>
    <row r="25" spans="1:16" s="82" customFormat="1" ht="90.75" customHeight="1" x14ac:dyDescent="0.4">
      <c r="A25" s="86"/>
      <c r="B25" s="64" t="s">
        <v>13</v>
      </c>
      <c r="C25" s="65" t="e">
        <f>#REF!</f>
        <v>#REF!</v>
      </c>
      <c r="D25" s="65" t="e">
        <f>#REF!</f>
        <v>#REF!</v>
      </c>
      <c r="E25" s="65" t="e">
        <f>#REF!</f>
        <v>#REF!</v>
      </c>
      <c r="F25" s="65"/>
      <c r="G25" s="65"/>
      <c r="H25" s="65"/>
      <c r="I25" s="74"/>
      <c r="J25" s="65"/>
      <c r="K25" s="75"/>
      <c r="L25" s="65"/>
      <c r="M25" s="76"/>
      <c r="N25" s="76"/>
      <c r="O25" s="81"/>
      <c r="P25"/>
    </row>
    <row r="26" spans="1:16" s="82" customFormat="1" ht="90.75" customHeight="1" x14ac:dyDescent="0.4">
      <c r="A26" s="86"/>
      <c r="B26" s="64" t="s">
        <v>5</v>
      </c>
      <c r="C26" s="65"/>
      <c r="D26" s="65"/>
      <c r="E26" s="65"/>
      <c r="F26" s="65"/>
      <c r="G26" s="65"/>
      <c r="H26" s="89"/>
      <c r="I26" s="90"/>
      <c r="J26" s="89"/>
      <c r="K26" s="91"/>
      <c r="L26" s="65"/>
      <c r="M26" s="76"/>
      <c r="N26" s="76"/>
      <c r="O26" s="92"/>
      <c r="P26"/>
    </row>
    <row r="27" spans="1:16" ht="102.75" customHeight="1" x14ac:dyDescent="0.4">
      <c r="A27" s="78" t="s">
        <v>15</v>
      </c>
      <c r="B27" s="93" t="s">
        <v>70</v>
      </c>
      <c r="C27" s="61" t="e">
        <f>SUM(C28:C32)</f>
        <v>#REF!</v>
      </c>
      <c r="D27" s="61" t="e">
        <f>SUM(D28:D32)</f>
        <v>#REF!</v>
      </c>
      <c r="E27" s="61" t="e">
        <f>SUM(E28:E32)</f>
        <v>#REF!</v>
      </c>
      <c r="F27" s="61">
        <f>F28+F29+F30+F31+F32</f>
        <v>349410.84</v>
      </c>
      <c r="G27" s="61">
        <f t="shared" ref="G27:O27" si="8">G28+G29+G30+G31+G32</f>
        <v>356357.94</v>
      </c>
      <c r="H27" s="61">
        <f t="shared" si="8"/>
        <v>160028.48000000001</v>
      </c>
      <c r="I27" s="174">
        <f t="shared" ref="I27:I30" si="9">H27/G27</f>
        <v>0.45</v>
      </c>
      <c r="J27" s="61">
        <f t="shared" si="8"/>
        <v>118579.61</v>
      </c>
      <c r="K27" s="151">
        <f t="shared" ref="K27:K30" si="10">J27/G27</f>
        <v>0.33</v>
      </c>
      <c r="L27" s="61">
        <f t="shared" si="8"/>
        <v>356357.94</v>
      </c>
      <c r="M27" s="61">
        <f t="shared" si="8"/>
        <v>0</v>
      </c>
      <c r="N27" s="61">
        <f t="shared" si="8"/>
        <v>0</v>
      </c>
      <c r="O27" s="61">
        <f t="shared" si="8"/>
        <v>0</v>
      </c>
      <c r="P27" s="272" t="s">
        <v>176</v>
      </c>
    </row>
    <row r="28" spans="1:16" ht="102.75" customHeight="1" x14ac:dyDescent="0.4">
      <c r="A28" s="94"/>
      <c r="B28" s="64" t="s">
        <v>4</v>
      </c>
      <c r="C28" s="65" t="e">
        <f>#REF!</f>
        <v>#REF!</v>
      </c>
      <c r="D28" s="65" t="e">
        <f>#REF!</f>
        <v>#REF!</v>
      </c>
      <c r="E28" s="65" t="e">
        <f>#REF!</f>
        <v>#REF!</v>
      </c>
      <c r="F28" s="65"/>
      <c r="G28" s="65"/>
      <c r="H28" s="65"/>
      <c r="I28" s="74"/>
      <c r="J28" s="65"/>
      <c r="K28" s="75"/>
      <c r="L28" s="65"/>
      <c r="M28" s="76"/>
      <c r="N28" s="76"/>
      <c r="O28" s="88"/>
      <c r="P28"/>
    </row>
    <row r="29" spans="1:16" ht="102.75" customHeight="1" x14ac:dyDescent="0.4">
      <c r="A29" s="94"/>
      <c r="B29" s="64" t="s">
        <v>16</v>
      </c>
      <c r="C29" s="95"/>
      <c r="D29" s="95"/>
      <c r="E29" s="95"/>
      <c r="F29" s="262">
        <v>330077.40000000002</v>
      </c>
      <c r="G29" s="262">
        <v>337024.5</v>
      </c>
      <c r="H29" s="262">
        <v>152203.67000000001</v>
      </c>
      <c r="I29" s="242">
        <f t="shared" si="9"/>
        <v>0.45</v>
      </c>
      <c r="J29" s="262">
        <v>110754.8</v>
      </c>
      <c r="K29" s="243">
        <f t="shared" si="10"/>
        <v>0.33</v>
      </c>
      <c r="L29" s="244">
        <f>3565.66+103707.34+48629.3+181122.2</f>
        <v>337024.5</v>
      </c>
      <c r="M29" s="150"/>
      <c r="N29" s="150"/>
      <c r="O29" s="147">
        <f t="shared" ref="O29:O30" si="11">G29-L29</f>
        <v>0</v>
      </c>
      <c r="P29"/>
    </row>
    <row r="30" spans="1:16" ht="102.75" customHeight="1" x14ac:dyDescent="0.4">
      <c r="A30" s="94"/>
      <c r="B30" s="64" t="s">
        <v>11</v>
      </c>
      <c r="C30" s="95"/>
      <c r="D30" s="95"/>
      <c r="E30" s="95"/>
      <c r="F30" s="262">
        <v>19333.439999999999</v>
      </c>
      <c r="G30" s="262">
        <v>19333.439999999999</v>
      </c>
      <c r="H30" s="262">
        <v>7824.81</v>
      </c>
      <c r="I30" s="242">
        <f t="shared" si="9"/>
        <v>0.4</v>
      </c>
      <c r="J30" s="262">
        <v>7824.81</v>
      </c>
      <c r="K30" s="243">
        <f t="shared" si="10"/>
        <v>0.4</v>
      </c>
      <c r="L30" s="244">
        <f>15767.78+3565.66</f>
        <v>19333.439999999999</v>
      </c>
      <c r="M30" s="150"/>
      <c r="N30" s="150"/>
      <c r="O30" s="147">
        <f t="shared" si="11"/>
        <v>0</v>
      </c>
      <c r="P30"/>
    </row>
    <row r="31" spans="1:16" ht="102.75" customHeight="1" x14ac:dyDescent="0.4">
      <c r="A31" s="94"/>
      <c r="B31" s="64" t="s">
        <v>13</v>
      </c>
      <c r="C31" s="95"/>
      <c r="D31" s="95"/>
      <c r="E31" s="95"/>
      <c r="F31" s="95"/>
      <c r="G31" s="95"/>
      <c r="H31" s="95"/>
      <c r="I31" s="96"/>
      <c r="J31" s="95"/>
      <c r="K31" s="97"/>
      <c r="L31" s="95"/>
      <c r="M31" s="76"/>
      <c r="N31" s="76"/>
      <c r="O31" s="88"/>
      <c r="P31"/>
    </row>
    <row r="32" spans="1:16" ht="102.75" customHeight="1" x14ac:dyDescent="0.4">
      <c r="A32" s="94"/>
      <c r="B32" s="64" t="s">
        <v>5</v>
      </c>
      <c r="C32" s="95" t="e">
        <f>#REF!</f>
        <v>#REF!</v>
      </c>
      <c r="D32" s="95" t="e">
        <f>#REF!</f>
        <v>#REF!</v>
      </c>
      <c r="E32" s="95" t="e">
        <f>#REF!</f>
        <v>#REF!</v>
      </c>
      <c r="F32" s="95"/>
      <c r="G32" s="95"/>
      <c r="H32" s="95"/>
      <c r="I32" s="96"/>
      <c r="J32" s="95"/>
      <c r="K32" s="97"/>
      <c r="L32" s="95"/>
      <c r="M32" s="76"/>
      <c r="N32" s="76"/>
      <c r="O32" s="92"/>
      <c r="P32"/>
    </row>
    <row r="33" spans="1:16" s="101" customFormat="1" ht="127.5" x14ac:dyDescent="0.25">
      <c r="A33" s="277" t="s">
        <v>57</v>
      </c>
      <c r="B33" s="98" t="s">
        <v>69</v>
      </c>
      <c r="C33" s="61" t="e">
        <f>#REF!+#REF!+#REF!+#REF!+#REF!</f>
        <v>#REF!</v>
      </c>
      <c r="D33" s="61" t="e">
        <f>#REF!+#REF!+#REF!+#REF!+#REF!</f>
        <v>#REF!</v>
      </c>
      <c r="E33" s="61" t="e">
        <f>#REF!+#REF!+#REF!+#REF!+#REF!</f>
        <v>#REF!</v>
      </c>
      <c r="F33" s="61"/>
      <c r="G33" s="61"/>
      <c r="H33" s="99"/>
      <c r="I33" s="70"/>
      <c r="J33" s="61"/>
      <c r="K33" s="100"/>
      <c r="L33" s="71"/>
      <c r="M33" s="72"/>
      <c r="N33" s="72"/>
      <c r="O33" s="72"/>
      <c r="P33" s="271" t="s">
        <v>124</v>
      </c>
    </row>
    <row r="34" spans="1:16" ht="84.75" customHeight="1" x14ac:dyDescent="0.4">
      <c r="A34" s="277" t="s">
        <v>1</v>
      </c>
      <c r="B34" s="102" t="s">
        <v>68</v>
      </c>
      <c r="C34" s="61" t="e">
        <f>SUM(C35:C39)</f>
        <v>#REF!</v>
      </c>
      <c r="D34" s="61" t="e">
        <f>SUM(D35:D39)</f>
        <v>#REF!</v>
      </c>
      <c r="E34" s="61" t="e">
        <f>SUM(E35:E39)</f>
        <v>#REF!</v>
      </c>
      <c r="F34" s="61">
        <f>F35+F36+F37</f>
        <v>174321.68</v>
      </c>
      <c r="G34" s="61">
        <f t="shared" ref="G34:H34" si="12">G35+G36+G37</f>
        <v>174307.38</v>
      </c>
      <c r="H34" s="61">
        <f t="shared" si="12"/>
        <v>92121.600000000006</v>
      </c>
      <c r="I34" s="174">
        <f t="shared" ref="I34:I37" si="13">H34/G34</f>
        <v>0.53</v>
      </c>
      <c r="J34" s="121">
        <f>J35+J36+J37</f>
        <v>87885.24</v>
      </c>
      <c r="K34" s="151">
        <f t="shared" ref="K34:K37" si="14">J34/G34</f>
        <v>0.5</v>
      </c>
      <c r="L34" s="61">
        <f>L35+L36+L37</f>
        <v>174307.38</v>
      </c>
      <c r="M34" s="61">
        <f t="shared" ref="M34:O34" si="15">M35+M36+M37</f>
        <v>0</v>
      </c>
      <c r="N34" s="61">
        <f t="shared" si="15"/>
        <v>0</v>
      </c>
      <c r="O34" s="121">
        <f t="shared" si="15"/>
        <v>0</v>
      </c>
      <c r="P34" s="273" t="s">
        <v>166</v>
      </c>
    </row>
    <row r="35" spans="1:16" ht="84.75" customHeight="1" x14ac:dyDescent="0.4">
      <c r="A35" s="94"/>
      <c r="B35" s="103" t="s">
        <v>4</v>
      </c>
      <c r="C35" s="65" t="e">
        <f>#REF!</f>
        <v>#REF!</v>
      </c>
      <c r="D35" s="65" t="e">
        <f>#REF!</f>
        <v>#REF!</v>
      </c>
      <c r="E35" s="65" t="e">
        <f>#REF!</f>
        <v>#REF!</v>
      </c>
      <c r="F35" s="65">
        <v>100.1</v>
      </c>
      <c r="G35" s="65">
        <v>85.8</v>
      </c>
      <c r="H35" s="125">
        <v>85.8</v>
      </c>
      <c r="I35" s="148">
        <f t="shared" si="13"/>
        <v>1</v>
      </c>
      <c r="J35" s="125">
        <v>0</v>
      </c>
      <c r="K35" s="227">
        <f t="shared" si="14"/>
        <v>0</v>
      </c>
      <c r="L35" s="208">
        <v>85.8</v>
      </c>
      <c r="M35" s="76"/>
      <c r="N35" s="76"/>
      <c r="O35" s="229"/>
      <c r="P35"/>
    </row>
    <row r="36" spans="1:16" ht="84.75" customHeight="1" x14ac:dyDescent="0.4">
      <c r="A36" s="94"/>
      <c r="B36" s="103" t="s">
        <v>16</v>
      </c>
      <c r="C36" s="65"/>
      <c r="D36" s="65"/>
      <c r="E36" s="65"/>
      <c r="F36" s="65">
        <v>165144.4</v>
      </c>
      <c r="G36" s="65">
        <v>165144.4</v>
      </c>
      <c r="H36" s="125">
        <v>87264.55</v>
      </c>
      <c r="I36" s="148">
        <f t="shared" si="13"/>
        <v>0.53</v>
      </c>
      <c r="J36" s="125">
        <v>83113.990000000005</v>
      </c>
      <c r="K36" s="227">
        <f t="shared" si="14"/>
        <v>0.5</v>
      </c>
      <c r="L36" s="208">
        <f>189.9+4617.5+160337</f>
        <v>165144.4</v>
      </c>
      <c r="M36" s="76"/>
      <c r="N36" s="76"/>
      <c r="O36" s="229"/>
      <c r="P36"/>
    </row>
    <row r="37" spans="1:16" ht="84.75" customHeight="1" x14ac:dyDescent="0.4">
      <c r="A37" s="94"/>
      <c r="B37" s="103" t="s">
        <v>11</v>
      </c>
      <c r="C37" s="65"/>
      <c r="D37" s="65"/>
      <c r="E37" s="65"/>
      <c r="F37" s="65">
        <v>9077.18</v>
      </c>
      <c r="G37" s="65">
        <v>9077.18</v>
      </c>
      <c r="H37" s="125">
        <v>4771.25</v>
      </c>
      <c r="I37" s="148">
        <f t="shared" si="13"/>
        <v>0.53</v>
      </c>
      <c r="J37" s="125">
        <v>4771.25</v>
      </c>
      <c r="K37" s="227">
        <f t="shared" si="14"/>
        <v>0.53</v>
      </c>
      <c r="L37" s="241">
        <f>638.38+8438.8</f>
        <v>9077.18</v>
      </c>
      <c r="M37" s="76"/>
      <c r="N37" s="76"/>
      <c r="O37" s="229"/>
      <c r="P37"/>
    </row>
    <row r="38" spans="1:16" ht="84.75" customHeight="1" x14ac:dyDescent="0.4">
      <c r="A38" s="94"/>
      <c r="B38" s="103" t="s">
        <v>13</v>
      </c>
      <c r="C38" s="65" t="e">
        <f>#REF!</f>
        <v>#REF!</v>
      </c>
      <c r="D38" s="65" t="e">
        <f>#REF!</f>
        <v>#REF!</v>
      </c>
      <c r="E38" s="65" t="e">
        <f>#REF!</f>
        <v>#REF!</v>
      </c>
      <c r="F38" s="65"/>
      <c r="G38" s="65"/>
      <c r="H38" s="65"/>
      <c r="I38" s="104"/>
      <c r="J38" s="125"/>
      <c r="K38" s="228"/>
      <c r="L38" s="241"/>
      <c r="M38" s="105"/>
      <c r="N38" s="105"/>
      <c r="O38" s="88"/>
      <c r="P38"/>
    </row>
    <row r="39" spans="1:16" ht="84.75" customHeight="1" x14ac:dyDescent="0.4">
      <c r="A39" s="94"/>
      <c r="B39" s="103" t="s">
        <v>5</v>
      </c>
      <c r="C39" s="87" t="e">
        <f>#REF!</f>
        <v>#REF!</v>
      </c>
      <c r="D39" s="87" t="e">
        <f>#REF!</f>
        <v>#REF!</v>
      </c>
      <c r="E39" s="87" t="e">
        <f>#REF!</f>
        <v>#REF!</v>
      </c>
      <c r="F39" s="65"/>
      <c r="G39" s="65"/>
      <c r="H39" s="65"/>
      <c r="I39" s="106"/>
      <c r="J39" s="125"/>
      <c r="K39" s="127"/>
      <c r="L39" s="241"/>
      <c r="M39" s="76"/>
      <c r="N39" s="76"/>
      <c r="O39" s="88"/>
      <c r="P39"/>
    </row>
    <row r="40" spans="1:16" s="101" customFormat="1" ht="266.25" customHeight="1" x14ac:dyDescent="0.25">
      <c r="A40" s="277" t="s">
        <v>10</v>
      </c>
      <c r="B40" s="69" t="s">
        <v>99</v>
      </c>
      <c r="C40" s="61" t="e">
        <f>C41+C44+C45+#REF!+#REF!</f>
        <v>#REF!</v>
      </c>
      <c r="D40" s="61" t="e">
        <f>D41+D44+D45+#REF!+#REF!</f>
        <v>#REF!</v>
      </c>
      <c r="E40" s="61" t="e">
        <f>E41+E44+E45+#REF!+#REF!</f>
        <v>#REF!</v>
      </c>
      <c r="F40" s="61">
        <f>F41+F42+F43+F44</f>
        <v>269426.59999999998</v>
      </c>
      <c r="G40" s="61">
        <f>G41+G42+G43+G44</f>
        <v>270079.09999999998</v>
      </c>
      <c r="H40" s="61">
        <v>0</v>
      </c>
      <c r="I40" s="108"/>
      <c r="J40" s="121"/>
      <c r="K40" s="123"/>
      <c r="L40" s="121">
        <f>L41+L42+L43+L44</f>
        <v>270079.09999999998</v>
      </c>
      <c r="M40" s="72"/>
      <c r="N40" s="72"/>
      <c r="O40" s="70"/>
      <c r="P40" s="275" t="s">
        <v>167</v>
      </c>
    </row>
    <row r="41" spans="1:16" s="77" customFormat="1" ht="48.75" customHeight="1" x14ac:dyDescent="0.25">
      <c r="A41" s="110"/>
      <c r="B41" s="103" t="s">
        <v>4</v>
      </c>
      <c r="C41" s="65" t="e">
        <f>#REF!+#REF!</f>
        <v>#REF!</v>
      </c>
      <c r="D41" s="65" t="e">
        <f>#REF!+#REF!</f>
        <v>#REF!</v>
      </c>
      <c r="E41" s="65" t="e">
        <f>#REF!+#REF!</f>
        <v>#REF!</v>
      </c>
      <c r="F41" s="65"/>
      <c r="G41" s="65"/>
      <c r="H41" s="89"/>
      <c r="I41" s="90"/>
      <c r="J41" s="89"/>
      <c r="K41" s="91"/>
      <c r="L41" s="208"/>
      <c r="M41" s="76"/>
      <c r="N41" s="76"/>
      <c r="O41" s="74"/>
      <c r="P41"/>
    </row>
    <row r="42" spans="1:16" s="77" customFormat="1" ht="48.75" customHeight="1" x14ac:dyDescent="0.25">
      <c r="A42" s="110"/>
      <c r="B42" s="103" t="s">
        <v>16</v>
      </c>
      <c r="C42" s="65"/>
      <c r="D42" s="65"/>
      <c r="E42" s="65"/>
      <c r="F42" s="65">
        <f>249407.3</f>
        <v>249407.3</v>
      </c>
      <c r="G42" s="65">
        <f>652.5+249407.3</f>
        <v>250059.8</v>
      </c>
      <c r="H42" s="89"/>
      <c r="I42" s="90"/>
      <c r="J42" s="89"/>
      <c r="K42" s="91"/>
      <c r="L42" s="208">
        <f>249407.3+652.5</f>
        <v>250059.8</v>
      </c>
      <c r="M42" s="76"/>
      <c r="N42" s="76"/>
      <c r="O42" s="74"/>
      <c r="P42"/>
    </row>
    <row r="43" spans="1:16" s="77" customFormat="1" ht="48.75" customHeight="1" x14ac:dyDescent="0.25">
      <c r="A43" s="110"/>
      <c r="B43" s="103" t="s">
        <v>11</v>
      </c>
      <c r="C43" s="65"/>
      <c r="D43" s="65"/>
      <c r="E43" s="65"/>
      <c r="F43" s="125">
        <v>13126.7</v>
      </c>
      <c r="G43" s="65">
        <v>13126.7</v>
      </c>
      <c r="H43" s="89"/>
      <c r="I43" s="90"/>
      <c r="J43" s="89">
        <v>0</v>
      </c>
      <c r="K43" s="91"/>
      <c r="L43" s="208">
        <f>13126.7</f>
        <v>13126.7</v>
      </c>
      <c r="M43" s="76"/>
      <c r="N43" s="76"/>
      <c r="O43" s="74"/>
      <c r="P43"/>
    </row>
    <row r="44" spans="1:16" s="77" customFormat="1" ht="48.75" customHeight="1" x14ac:dyDescent="0.25">
      <c r="A44" s="110"/>
      <c r="B44" s="103" t="s">
        <v>13</v>
      </c>
      <c r="C44" s="65"/>
      <c r="D44" s="65"/>
      <c r="E44" s="65"/>
      <c r="F44" s="65">
        <v>6892.6</v>
      </c>
      <c r="G44" s="65">
        <v>6892.6</v>
      </c>
      <c r="H44" s="89"/>
      <c r="I44" s="90"/>
      <c r="J44" s="89"/>
      <c r="K44" s="91"/>
      <c r="L44" s="208">
        <v>6892.6</v>
      </c>
      <c r="M44" s="76"/>
      <c r="N44" s="76"/>
      <c r="O44" s="74"/>
      <c r="P44"/>
    </row>
    <row r="45" spans="1:16" s="77" customFormat="1" ht="48.75" customHeight="1" x14ac:dyDescent="0.25">
      <c r="A45" s="110"/>
      <c r="B45" s="103" t="s">
        <v>5</v>
      </c>
      <c r="C45" s="65"/>
      <c r="D45" s="65"/>
      <c r="E45" s="65"/>
      <c r="F45" s="65"/>
      <c r="G45" s="65"/>
      <c r="H45" s="89"/>
      <c r="I45" s="90"/>
      <c r="J45" s="89"/>
      <c r="K45" s="91"/>
      <c r="L45" s="65"/>
      <c r="M45" s="76"/>
      <c r="N45" s="76"/>
      <c r="O45" s="74"/>
      <c r="P45"/>
    </row>
    <row r="46" spans="1:16" s="111" customFormat="1" ht="182.25" customHeight="1" x14ac:dyDescent="0.25">
      <c r="A46" s="277" t="s">
        <v>58</v>
      </c>
      <c r="B46" s="69" t="s">
        <v>67</v>
      </c>
      <c r="C46" s="61" t="e">
        <f>SUM(C51:C51)</f>
        <v>#REF!</v>
      </c>
      <c r="D46" s="61" t="e">
        <f>SUM(D51:D51)</f>
        <v>#REF!</v>
      </c>
      <c r="E46" s="61" t="e">
        <f>SUM(E51:E51)</f>
        <v>#REF!</v>
      </c>
      <c r="F46" s="61">
        <f>F47+F48+F49+F50</f>
        <v>8659.2999999999993</v>
      </c>
      <c r="G46" s="61">
        <f t="shared" ref="G46:H46" si="16">G47+G48+G49+G50</f>
        <v>8804.7000000000007</v>
      </c>
      <c r="H46" s="61">
        <f t="shared" si="16"/>
        <v>4033.34</v>
      </c>
      <c r="I46" s="174">
        <f t="shared" ref="I46:I48" si="17">H46/G46</f>
        <v>0.46</v>
      </c>
      <c r="J46" s="61">
        <f>J47+J48+J49+J50</f>
        <v>3789.2</v>
      </c>
      <c r="K46" s="151">
        <f t="shared" ref="K46:K48" si="18">J46/G46</f>
        <v>0.43</v>
      </c>
      <c r="L46" s="61">
        <f>L47+L48</f>
        <v>8804.7000000000007</v>
      </c>
      <c r="M46" s="61"/>
      <c r="N46" s="61"/>
      <c r="O46" s="61"/>
      <c r="P46" s="274" t="s">
        <v>177</v>
      </c>
    </row>
    <row r="47" spans="1:16" s="111" customFormat="1" ht="97.5" customHeight="1" x14ac:dyDescent="0.25">
      <c r="A47" s="94"/>
      <c r="B47" s="103" t="s">
        <v>4</v>
      </c>
      <c r="C47" s="61"/>
      <c r="D47" s="61"/>
      <c r="E47" s="61"/>
      <c r="F47" s="61"/>
      <c r="G47" s="61"/>
      <c r="H47" s="61"/>
      <c r="I47" s="70"/>
      <c r="J47" s="61"/>
      <c r="K47" s="71"/>
      <c r="L47" s="61"/>
      <c r="M47" s="61"/>
      <c r="N47" s="61"/>
      <c r="O47" s="61">
        <f t="shared" ref="O47:O51" si="19">G47-L47</f>
        <v>0</v>
      </c>
      <c r="P47"/>
    </row>
    <row r="48" spans="1:16" s="111" customFormat="1" ht="103.5" customHeight="1" x14ac:dyDescent="0.25">
      <c r="A48" s="94"/>
      <c r="B48" s="103" t="s">
        <v>16</v>
      </c>
      <c r="C48" s="61"/>
      <c r="D48" s="61"/>
      <c r="E48" s="61"/>
      <c r="F48" s="147">
        <v>8659.2999999999993</v>
      </c>
      <c r="G48" s="147">
        <v>8804.7000000000007</v>
      </c>
      <c r="H48" s="147">
        <f>15.2+3800+218.14</f>
        <v>4033.34</v>
      </c>
      <c r="I48" s="148">
        <f t="shared" si="17"/>
        <v>0.46</v>
      </c>
      <c r="J48" s="147">
        <v>3789.2</v>
      </c>
      <c r="K48" s="149">
        <f t="shared" si="18"/>
        <v>0.43</v>
      </c>
      <c r="L48" s="61">
        <f>8024.62+98.63+145.38+536.07</f>
        <v>8804.7000000000007</v>
      </c>
      <c r="M48" s="61"/>
      <c r="N48" s="61"/>
      <c r="O48" s="61">
        <f>G48-L48</f>
        <v>0</v>
      </c>
      <c r="P48"/>
    </row>
    <row r="49" spans="1:19" s="111" customFormat="1" ht="86.25" customHeight="1" x14ac:dyDescent="0.25">
      <c r="A49" s="94"/>
      <c r="B49" s="103" t="s">
        <v>11</v>
      </c>
      <c r="C49" s="61"/>
      <c r="D49" s="61"/>
      <c r="E49" s="61"/>
      <c r="F49" s="61"/>
      <c r="G49" s="61"/>
      <c r="H49" s="61"/>
      <c r="I49" s="70"/>
      <c r="J49" s="61"/>
      <c r="K49" s="71"/>
      <c r="L49" s="61"/>
      <c r="M49" s="61"/>
      <c r="N49" s="61"/>
      <c r="O49" s="61">
        <f t="shared" si="19"/>
        <v>0</v>
      </c>
      <c r="P49"/>
    </row>
    <row r="50" spans="1:19" s="111" customFormat="1" ht="105" customHeight="1" x14ac:dyDescent="0.25">
      <c r="A50" s="94"/>
      <c r="B50" s="103" t="s">
        <v>13</v>
      </c>
      <c r="C50" s="61"/>
      <c r="D50" s="61"/>
      <c r="E50" s="61"/>
      <c r="F50" s="61"/>
      <c r="G50" s="61"/>
      <c r="H50" s="61"/>
      <c r="I50" s="70"/>
      <c r="J50" s="61"/>
      <c r="K50" s="71"/>
      <c r="L50" s="61"/>
      <c r="M50" s="61"/>
      <c r="N50" s="61"/>
      <c r="O50" s="61">
        <f t="shared" si="19"/>
        <v>0</v>
      </c>
      <c r="P50"/>
    </row>
    <row r="51" spans="1:19" s="111" customFormat="1" ht="182.25" customHeight="1" x14ac:dyDescent="0.25">
      <c r="A51" s="112"/>
      <c r="B51" s="245" t="s">
        <v>5</v>
      </c>
      <c r="C51" s="65" t="e">
        <f>#REF!+#REF!</f>
        <v>#REF!</v>
      </c>
      <c r="D51" s="65" t="e">
        <f>#REF!+#REF!</f>
        <v>#REF!</v>
      </c>
      <c r="E51" s="65" t="e">
        <f>#REF!+#REF!</f>
        <v>#REF!</v>
      </c>
      <c r="F51" s="65"/>
      <c r="G51" s="65"/>
      <c r="H51" s="65"/>
      <c r="I51" s="74"/>
      <c r="J51" s="65"/>
      <c r="K51" s="75"/>
      <c r="L51" s="65"/>
      <c r="M51" s="65"/>
      <c r="N51" s="65"/>
      <c r="O51" s="61">
        <f t="shared" si="19"/>
        <v>0</v>
      </c>
      <c r="P51"/>
    </row>
    <row r="52" spans="1:19" s="114" customFormat="1" ht="197.25" customHeight="1" x14ac:dyDescent="0.25">
      <c r="A52" s="277" t="s">
        <v>20</v>
      </c>
      <c r="B52" s="69" t="s">
        <v>100</v>
      </c>
      <c r="C52" s="61">
        <f>SUM(C53:C57)</f>
        <v>0</v>
      </c>
      <c r="D52" s="61">
        <f>SUM(D53:D57)</f>
        <v>0</v>
      </c>
      <c r="E52" s="61">
        <f>SUM(E53:E57)</f>
        <v>0</v>
      </c>
      <c r="F52" s="121">
        <f>F53+F54+F55+F56+F57</f>
        <v>14031.36</v>
      </c>
      <c r="G52" s="121">
        <f>G53+G54+G55+G56+G57</f>
        <v>14754.16</v>
      </c>
      <c r="H52" s="121">
        <f t="shared" ref="H52" si="20">H53+H54+H55+H56+H57</f>
        <v>1092</v>
      </c>
      <c r="I52" s="122">
        <f>H52/G52</f>
        <v>7.0000000000000007E-2</v>
      </c>
      <c r="J52" s="121">
        <f>J53+J54+J55+J56+J57</f>
        <v>3822.86</v>
      </c>
      <c r="K52" s="123">
        <f>J52/G52</f>
        <v>0.26</v>
      </c>
      <c r="L52" s="121">
        <f>L53+L54+L55+L56+L57</f>
        <v>14253.92</v>
      </c>
      <c r="M52" s="121">
        <f t="shared" ref="M52:O52" si="21">M53+M54+M55+M56+M57</f>
        <v>0</v>
      </c>
      <c r="N52" s="121">
        <f t="shared" si="21"/>
        <v>0</v>
      </c>
      <c r="O52" s="61">
        <f t="shared" si="21"/>
        <v>500.24</v>
      </c>
      <c r="P52" s="270" t="s">
        <v>168</v>
      </c>
    </row>
    <row r="53" spans="1:19" s="111" customFormat="1" ht="37.5" customHeight="1" x14ac:dyDescent="0.25">
      <c r="A53" s="278"/>
      <c r="B53" s="103" t="s">
        <v>4</v>
      </c>
      <c r="C53" s="65"/>
      <c r="D53" s="65"/>
      <c r="E53" s="65"/>
      <c r="F53" s="65">
        <v>0</v>
      </c>
      <c r="G53" s="65">
        <v>722.8</v>
      </c>
      <c r="H53" s="65"/>
      <c r="I53" s="148">
        <f t="shared" ref="I53:I55" si="22">H53/G53</f>
        <v>0</v>
      </c>
      <c r="J53" s="65"/>
      <c r="K53" s="75"/>
      <c r="L53" s="65">
        <v>722.8</v>
      </c>
      <c r="M53" s="65"/>
      <c r="N53" s="65"/>
      <c r="O53" s="147">
        <f>G53-L53</f>
        <v>0</v>
      </c>
      <c r="P53"/>
    </row>
    <row r="54" spans="1:19" s="111" customFormat="1" ht="37.5" customHeight="1" x14ac:dyDescent="0.25">
      <c r="A54" s="278"/>
      <c r="B54" s="103" t="s">
        <v>16</v>
      </c>
      <c r="C54" s="65"/>
      <c r="D54" s="65"/>
      <c r="E54" s="65"/>
      <c r="F54" s="65">
        <v>3492</v>
      </c>
      <c r="G54" s="65">
        <v>3492</v>
      </c>
      <c r="H54" s="65">
        <v>1092</v>
      </c>
      <c r="I54" s="148">
        <f t="shared" si="22"/>
        <v>0.31</v>
      </c>
      <c r="J54" s="65">
        <v>1062.7</v>
      </c>
      <c r="K54" s="149">
        <f t="shared" ref="K54:K55" si="23">J54/G54</f>
        <v>0.3</v>
      </c>
      <c r="L54" s="65">
        <f>1092+1900</f>
        <v>2992</v>
      </c>
      <c r="M54" s="65"/>
      <c r="N54" s="65"/>
      <c r="O54" s="147">
        <f>G54-L54</f>
        <v>500</v>
      </c>
      <c r="P54"/>
    </row>
    <row r="55" spans="1:19" s="111" customFormat="1" ht="37.5" customHeight="1" x14ac:dyDescent="0.25">
      <c r="A55" s="278"/>
      <c r="B55" s="103" t="s">
        <v>11</v>
      </c>
      <c r="C55" s="65"/>
      <c r="D55" s="65"/>
      <c r="E55" s="65"/>
      <c r="F55" s="65">
        <v>10539.36</v>
      </c>
      <c r="G55" s="65">
        <v>10539.36</v>
      </c>
      <c r="H55" s="65"/>
      <c r="I55" s="148">
        <f t="shared" si="22"/>
        <v>0</v>
      </c>
      <c r="J55" s="65">
        <v>2760.16</v>
      </c>
      <c r="K55" s="149">
        <f t="shared" si="23"/>
        <v>0.26</v>
      </c>
      <c r="L55" s="65">
        <v>10539.12</v>
      </c>
      <c r="M55" s="65"/>
      <c r="N55" s="65"/>
      <c r="O55" s="147">
        <f t="shared" ref="O55" si="24">G55-L55</f>
        <v>0.24</v>
      </c>
      <c r="P55"/>
    </row>
    <row r="56" spans="1:19" s="111" customFormat="1" ht="37.5" customHeight="1" x14ac:dyDescent="0.25">
      <c r="A56" s="278"/>
      <c r="B56" s="103" t="s">
        <v>13</v>
      </c>
      <c r="C56" s="65"/>
      <c r="D56" s="65"/>
      <c r="E56" s="65"/>
      <c r="F56" s="65"/>
      <c r="G56" s="65"/>
      <c r="H56" s="65"/>
      <c r="I56" s="74"/>
      <c r="J56" s="65"/>
      <c r="K56" s="75"/>
      <c r="L56" s="65"/>
      <c r="M56" s="65"/>
      <c r="N56" s="65"/>
      <c r="O56" s="95"/>
      <c r="P56"/>
    </row>
    <row r="57" spans="1:19" s="111" customFormat="1" ht="37.5" customHeight="1" x14ac:dyDescent="0.25">
      <c r="A57" s="278"/>
      <c r="B57" s="103" t="s">
        <v>5</v>
      </c>
      <c r="C57" s="65"/>
      <c r="D57" s="65"/>
      <c r="E57" s="65"/>
      <c r="F57" s="65"/>
      <c r="G57" s="65"/>
      <c r="H57" s="65"/>
      <c r="I57" s="74"/>
      <c r="J57" s="65"/>
      <c r="K57" s="75"/>
      <c r="L57" s="65"/>
      <c r="M57" s="65"/>
      <c r="N57" s="65"/>
      <c r="O57" s="95"/>
      <c r="P57"/>
    </row>
    <row r="58" spans="1:19" s="77" customFormat="1" ht="164.25" customHeight="1" outlineLevel="1" x14ac:dyDescent="0.25">
      <c r="A58" s="277" t="s">
        <v>21</v>
      </c>
      <c r="B58" s="69" t="s">
        <v>101</v>
      </c>
      <c r="C58" s="61" t="e">
        <f>#REF!+#REF!+#REF!+#REF!+#REF!</f>
        <v>#REF!</v>
      </c>
      <c r="D58" s="61" t="e">
        <f>#REF!+#REF!+#REF!+#REF!+#REF!</f>
        <v>#REF!</v>
      </c>
      <c r="E58" s="61" t="e">
        <f>#REF!+#REF!+#REF!+#REF!+#REF!</f>
        <v>#REF!</v>
      </c>
      <c r="F58" s="107"/>
      <c r="G58" s="107"/>
      <c r="H58" s="115"/>
      <c r="I58" s="108"/>
      <c r="J58" s="107"/>
      <c r="K58" s="109"/>
      <c r="L58" s="109"/>
      <c r="M58" s="72"/>
      <c r="N58" s="72"/>
      <c r="O58" s="72"/>
      <c r="P58" s="271" t="s">
        <v>124</v>
      </c>
    </row>
    <row r="59" spans="1:19" s="116" customFormat="1" ht="168" customHeight="1" x14ac:dyDescent="0.25">
      <c r="A59" s="277" t="s">
        <v>22</v>
      </c>
      <c r="B59" s="69" t="s">
        <v>102</v>
      </c>
      <c r="C59" s="61" t="e">
        <f>#REF!+#REF!+#REF!+#REF!+#REF!</f>
        <v>#REF!</v>
      </c>
      <c r="D59" s="61" t="e">
        <f>#REF!+#REF!+#REF!+#REF!+#REF!</f>
        <v>#REF!</v>
      </c>
      <c r="E59" s="61" t="e">
        <f>#REF!+#REF!+#REF!+#REF!+#REF!</f>
        <v>#REF!</v>
      </c>
      <c r="F59" s="107"/>
      <c r="G59" s="107"/>
      <c r="H59" s="115"/>
      <c r="I59" s="108"/>
      <c r="J59" s="107"/>
      <c r="K59" s="109"/>
      <c r="L59" s="109"/>
      <c r="M59" s="72"/>
      <c r="N59" s="72"/>
      <c r="O59" s="72"/>
      <c r="P59" s="271" t="s">
        <v>124</v>
      </c>
    </row>
    <row r="60" spans="1:19" s="155" customFormat="1" ht="127.5" customHeight="1" x14ac:dyDescent="0.25">
      <c r="A60" s="282" t="s">
        <v>23</v>
      </c>
      <c r="B60" s="283" t="s">
        <v>103</v>
      </c>
      <c r="C60" s="283"/>
      <c r="D60" s="283"/>
      <c r="E60" s="283"/>
      <c r="F60" s="168">
        <f>SUM(F61:F65)</f>
        <v>1343098.33</v>
      </c>
      <c r="G60" s="168">
        <f t="shared" ref="G60:J60" si="25">SUM(G61:G65)</f>
        <v>1611089</v>
      </c>
      <c r="H60" s="168">
        <f t="shared" si="25"/>
        <v>1063014.1599999999</v>
      </c>
      <c r="I60" s="284">
        <f t="shared" ref="I60:I90" si="26">H60/G60</f>
        <v>0.66</v>
      </c>
      <c r="J60" s="168">
        <f t="shared" si="25"/>
        <v>1043054.72</v>
      </c>
      <c r="K60" s="285">
        <f t="shared" ref="K60:K66" si="27">J60/G60</f>
        <v>0.64700000000000002</v>
      </c>
      <c r="L60" s="168">
        <f>SUM(L61:L65)</f>
        <v>16714.12</v>
      </c>
      <c r="M60" s="168">
        <f t="shared" ref="M60:N60" si="28">SUM(M61:M65)</f>
        <v>1611089</v>
      </c>
      <c r="N60" s="286">
        <f t="shared" si="28"/>
        <v>0</v>
      </c>
      <c r="O60" s="284">
        <f t="shared" ref="O60:O105" si="29">M60/G60</f>
        <v>1</v>
      </c>
      <c r="P60" s="152"/>
      <c r="Q60" s="152"/>
      <c r="R60" s="153"/>
      <c r="S60" s="154"/>
    </row>
    <row r="61" spans="1:19" s="158" customFormat="1" ht="23.25" x14ac:dyDescent="0.25">
      <c r="A61"/>
      <c r="B61" s="287" t="s">
        <v>4</v>
      </c>
      <c r="C61" s="287"/>
      <c r="D61" s="287"/>
      <c r="E61" s="287"/>
      <c r="F61" s="166">
        <f t="shared" ref="F61:H65" si="30">F67+F103</f>
        <v>14306.5</v>
      </c>
      <c r="G61" s="166">
        <f t="shared" si="30"/>
        <v>17057.03</v>
      </c>
      <c r="H61" s="166">
        <f t="shared" si="30"/>
        <v>14618.93</v>
      </c>
      <c r="I61" s="288">
        <f t="shared" si="26"/>
        <v>0.85699999999999998</v>
      </c>
      <c r="J61" s="166">
        <f>J67+J103</f>
        <v>4558.03</v>
      </c>
      <c r="K61" s="288">
        <f t="shared" si="27"/>
        <v>0.26700000000000002</v>
      </c>
      <c r="L61" s="166">
        <f>L67+L103</f>
        <v>10060.9</v>
      </c>
      <c r="M61" s="166">
        <f t="shared" ref="M61:N64" si="31">M67+M103</f>
        <v>17057.03</v>
      </c>
      <c r="N61" s="289">
        <f t="shared" si="31"/>
        <v>0</v>
      </c>
      <c r="O61" s="290">
        <f t="shared" si="29"/>
        <v>1</v>
      </c>
      <c r="P61" s="156"/>
      <c r="Q61" s="156"/>
      <c r="R61" s="256"/>
      <c r="S61" s="157"/>
    </row>
    <row r="62" spans="1:19" s="158" customFormat="1" ht="23.25" x14ac:dyDescent="0.25">
      <c r="A62"/>
      <c r="B62" s="287" t="s">
        <v>130</v>
      </c>
      <c r="C62" s="287"/>
      <c r="D62" s="287"/>
      <c r="E62" s="287"/>
      <c r="F62" s="166">
        <f t="shared" si="30"/>
        <v>1172140.17</v>
      </c>
      <c r="G62" s="166">
        <f t="shared" si="30"/>
        <v>1437380.31</v>
      </c>
      <c r="H62" s="166">
        <f t="shared" si="30"/>
        <v>941888.1</v>
      </c>
      <c r="I62" s="288">
        <f t="shared" si="26"/>
        <v>0.65500000000000003</v>
      </c>
      <c r="J62" s="166">
        <f>J68+J104</f>
        <v>931989.56</v>
      </c>
      <c r="K62" s="288">
        <f t="shared" si="27"/>
        <v>0.64800000000000002</v>
      </c>
      <c r="L62" s="166">
        <f>L68+L104</f>
        <v>6199.72</v>
      </c>
      <c r="M62" s="166">
        <f t="shared" si="31"/>
        <v>1437380.31</v>
      </c>
      <c r="N62" s="289">
        <f t="shared" si="31"/>
        <v>0</v>
      </c>
      <c r="O62" s="290">
        <f t="shared" si="29"/>
        <v>1</v>
      </c>
      <c r="P62" s="156"/>
      <c r="Q62" s="156"/>
      <c r="R62"/>
      <c r="S62" s="157"/>
    </row>
    <row r="63" spans="1:19" s="158" customFormat="1" ht="23.25" x14ac:dyDescent="0.25">
      <c r="A63" s="291"/>
      <c r="B63" s="162" t="s">
        <v>11</v>
      </c>
      <c r="C63" s="162"/>
      <c r="D63" s="162"/>
      <c r="E63" s="162"/>
      <c r="F63" s="166">
        <f t="shared" si="30"/>
        <v>154895.75</v>
      </c>
      <c r="G63" s="166">
        <f t="shared" si="30"/>
        <v>154895.75</v>
      </c>
      <c r="H63" s="166">
        <f t="shared" si="30"/>
        <v>106507.13</v>
      </c>
      <c r="I63" s="161">
        <f t="shared" si="26"/>
        <v>0.68799999999999994</v>
      </c>
      <c r="J63" s="202">
        <f>J69+J105</f>
        <v>106507.13</v>
      </c>
      <c r="K63" s="161">
        <f t="shared" si="27"/>
        <v>0.68799999999999994</v>
      </c>
      <c r="L63" s="164">
        <f>L69+L105</f>
        <v>453.5</v>
      </c>
      <c r="M63" s="166">
        <f t="shared" si="31"/>
        <v>154895.75</v>
      </c>
      <c r="N63" s="292">
        <f t="shared" si="31"/>
        <v>0</v>
      </c>
      <c r="O63" s="293">
        <f t="shared" si="29"/>
        <v>1</v>
      </c>
      <c r="P63" s="159"/>
      <c r="Q63" s="159"/>
      <c r="R63" s="256"/>
    </row>
    <row r="64" spans="1:19" s="158" customFormat="1" ht="23.25" x14ac:dyDescent="0.25">
      <c r="A64" s="294"/>
      <c r="B64" s="194" t="s">
        <v>13</v>
      </c>
      <c r="C64" s="194"/>
      <c r="D64" s="194"/>
      <c r="E64" s="194"/>
      <c r="F64" s="202">
        <f t="shared" si="30"/>
        <v>1755.91</v>
      </c>
      <c r="G64" s="202">
        <f t="shared" si="30"/>
        <v>1755.91</v>
      </c>
      <c r="H64" s="202">
        <f t="shared" si="30"/>
        <v>0</v>
      </c>
      <c r="I64" s="295">
        <f t="shared" si="26"/>
        <v>0</v>
      </c>
      <c r="J64" s="202">
        <f>J70+J106</f>
        <v>0</v>
      </c>
      <c r="K64" s="295">
        <f t="shared" si="27"/>
        <v>0</v>
      </c>
      <c r="L64" s="202">
        <f>L70+L106</f>
        <v>0</v>
      </c>
      <c r="M64" s="202">
        <f t="shared" si="31"/>
        <v>1755.91</v>
      </c>
      <c r="N64" s="202">
        <f t="shared" si="31"/>
        <v>0</v>
      </c>
      <c r="O64" s="296">
        <f t="shared" si="29"/>
        <v>1</v>
      </c>
      <c r="P64" s="160"/>
      <c r="Q64" s="160"/>
      <c r="R64"/>
    </row>
    <row r="65" spans="1:18" s="158" customFormat="1" ht="23.25" collapsed="1" x14ac:dyDescent="0.25">
      <c r="A65" s="297"/>
      <c r="B65" s="194" t="s">
        <v>5</v>
      </c>
      <c r="C65" s="194"/>
      <c r="D65" s="194"/>
      <c r="E65" s="194"/>
      <c r="F65" s="202">
        <f t="shared" si="30"/>
        <v>0</v>
      </c>
      <c r="G65" s="202">
        <f t="shared" si="30"/>
        <v>0</v>
      </c>
      <c r="H65" s="202">
        <f t="shared" si="30"/>
        <v>0</v>
      </c>
      <c r="I65" s="295"/>
      <c r="J65" s="202"/>
      <c r="K65" s="295"/>
      <c r="L65" s="202">
        <f>L71+L107</f>
        <v>0</v>
      </c>
      <c r="M65" s="202"/>
      <c r="N65" s="202"/>
      <c r="O65" s="295"/>
      <c r="P65" s="161"/>
      <c r="Q65" s="161"/>
      <c r="R65" s="162"/>
    </row>
    <row r="66" spans="1:18" s="155" customFormat="1" ht="46.5" x14ac:dyDescent="0.25">
      <c r="A66" s="183" t="s">
        <v>145</v>
      </c>
      <c r="B66" s="184" t="s">
        <v>131</v>
      </c>
      <c r="C66" s="184"/>
      <c r="D66" s="184"/>
      <c r="E66" s="184"/>
      <c r="F66" s="185">
        <f>SUM(F67:F71)</f>
        <v>1318743.51</v>
      </c>
      <c r="G66" s="185">
        <f t="shared" ref="G66:H66" si="32">SUM(G67:G71)</f>
        <v>1585986.02</v>
      </c>
      <c r="H66" s="185">
        <f t="shared" si="32"/>
        <v>1040802.78</v>
      </c>
      <c r="I66" s="186">
        <f t="shared" si="26"/>
        <v>0.66</v>
      </c>
      <c r="J66" s="185">
        <f>SUM(J67:J71)</f>
        <v>1037260.11</v>
      </c>
      <c r="K66" s="187">
        <f t="shared" si="27"/>
        <v>0.65400000000000003</v>
      </c>
      <c r="L66" s="186">
        <f>SUM(L67:L71)</f>
        <v>0</v>
      </c>
      <c r="M66" s="185">
        <f>SUM(M67:M71)</f>
        <v>1585986.02</v>
      </c>
      <c r="N66" s="185">
        <f>G66-M66</f>
        <v>0</v>
      </c>
      <c r="O66" s="186">
        <f t="shared" si="29"/>
        <v>1</v>
      </c>
      <c r="P66" s="163"/>
      <c r="Q66" s="163"/>
      <c r="R66" s="257"/>
    </row>
    <row r="67" spans="1:18" s="158" customFormat="1" ht="23.25" x14ac:dyDescent="0.25">
      <c r="A67" s="188"/>
      <c r="B67" s="189" t="s">
        <v>4</v>
      </c>
      <c r="C67" s="189"/>
      <c r="D67" s="189"/>
      <c r="E67" s="189"/>
      <c r="F67" s="190">
        <f t="shared" ref="F67:H71" si="33">F73+F79+F85+F97</f>
        <v>0</v>
      </c>
      <c r="G67" s="190">
        <f t="shared" si="33"/>
        <v>0</v>
      </c>
      <c r="H67" s="190">
        <f t="shared" si="33"/>
        <v>0</v>
      </c>
      <c r="I67" s="191"/>
      <c r="J67" s="190"/>
      <c r="K67" s="190"/>
      <c r="L67" s="192">
        <f>L73+L79+L85+L97</f>
        <v>0</v>
      </c>
      <c r="M67" s="190"/>
      <c r="N67" s="190"/>
      <c r="O67" s="191"/>
      <c r="P67" s="165"/>
      <c r="Q67" s="165"/>
      <c r="R67"/>
    </row>
    <row r="68" spans="1:18" s="158" customFormat="1" ht="23.25" x14ac:dyDescent="0.25">
      <c r="A68" s="188"/>
      <c r="B68" s="189" t="s">
        <v>130</v>
      </c>
      <c r="C68" s="189"/>
      <c r="D68" s="189"/>
      <c r="E68" s="189"/>
      <c r="F68" s="190">
        <f>F74+F80+F86+F98</f>
        <v>1162545.3500000001</v>
      </c>
      <c r="G68" s="190">
        <f t="shared" si="33"/>
        <v>1429787.86</v>
      </c>
      <c r="H68" s="190">
        <f t="shared" si="33"/>
        <v>934295.65</v>
      </c>
      <c r="I68" s="191">
        <f t="shared" si="26"/>
        <v>0.65</v>
      </c>
      <c r="J68" s="190">
        <f>J74+J80+J86+J98</f>
        <v>930752.98</v>
      </c>
      <c r="K68" s="192">
        <f>J68/G68</f>
        <v>0.65</v>
      </c>
      <c r="L68" s="192">
        <f>L74+L80+L86+L98</f>
        <v>0</v>
      </c>
      <c r="M68" s="190">
        <f>M74+M80+M86+M98</f>
        <v>1429787.86</v>
      </c>
      <c r="N68" s="190">
        <f t="shared" ref="N68:N70" si="34">N74+N80+N86</f>
        <v>0</v>
      </c>
      <c r="O68" s="191">
        <f t="shared" si="29"/>
        <v>1</v>
      </c>
      <c r="P68" s="165"/>
      <c r="Q68" s="165"/>
      <c r="R68"/>
    </row>
    <row r="69" spans="1:18" s="158" customFormat="1" ht="23.25" x14ac:dyDescent="0.25">
      <c r="A69" s="188"/>
      <c r="B69" s="193" t="s">
        <v>11</v>
      </c>
      <c r="C69" s="189"/>
      <c r="D69" s="189"/>
      <c r="E69" s="189"/>
      <c r="F69" s="190">
        <f t="shared" si="33"/>
        <v>154442.25</v>
      </c>
      <c r="G69" s="190">
        <f t="shared" si="33"/>
        <v>154442.25</v>
      </c>
      <c r="H69" s="190">
        <f t="shared" si="33"/>
        <v>106507.13</v>
      </c>
      <c r="I69" s="191">
        <f t="shared" si="26"/>
        <v>0.69</v>
      </c>
      <c r="J69" s="190">
        <f>J75+J81+J87+J99</f>
        <v>106507.13</v>
      </c>
      <c r="K69" s="192">
        <f>J69/G69</f>
        <v>0.69</v>
      </c>
      <c r="L69" s="192">
        <f>L75+L81+L87+L99</f>
        <v>0</v>
      </c>
      <c r="M69" s="190">
        <f>M75+M81+M87+M99</f>
        <v>154442.25</v>
      </c>
      <c r="N69" s="190">
        <f t="shared" si="34"/>
        <v>0</v>
      </c>
      <c r="O69" s="191">
        <f t="shared" si="29"/>
        <v>1</v>
      </c>
      <c r="P69" s="165"/>
      <c r="Q69" s="165"/>
      <c r="R69"/>
    </row>
    <row r="70" spans="1:18" s="158" customFormat="1" ht="23.25" x14ac:dyDescent="0.25">
      <c r="A70" s="188"/>
      <c r="B70" s="194" t="s">
        <v>13</v>
      </c>
      <c r="C70" s="195"/>
      <c r="D70" s="195"/>
      <c r="E70" s="195"/>
      <c r="F70" s="190">
        <f t="shared" si="33"/>
        <v>1755.91</v>
      </c>
      <c r="G70" s="190">
        <f t="shared" si="33"/>
        <v>1755.91</v>
      </c>
      <c r="H70" s="190">
        <f t="shared" si="33"/>
        <v>0</v>
      </c>
      <c r="I70" s="191">
        <f t="shared" si="26"/>
        <v>0</v>
      </c>
      <c r="J70" s="190">
        <f>J76+J82+J88+J100</f>
        <v>0</v>
      </c>
      <c r="K70" s="192">
        <f>J70/G70</f>
        <v>0</v>
      </c>
      <c r="L70" s="192"/>
      <c r="M70" s="190">
        <f>M76+M82+M88+M100</f>
        <v>1755.91</v>
      </c>
      <c r="N70" s="190">
        <f t="shared" si="34"/>
        <v>0</v>
      </c>
      <c r="O70" s="191">
        <f t="shared" si="29"/>
        <v>1</v>
      </c>
      <c r="P70" s="165"/>
      <c r="Q70" s="165"/>
      <c r="R70"/>
    </row>
    <row r="71" spans="1:18" s="158" customFormat="1" ht="23.25" collapsed="1" x14ac:dyDescent="0.25">
      <c r="A71" s="196"/>
      <c r="B71" s="193" t="s">
        <v>5</v>
      </c>
      <c r="C71" s="189"/>
      <c r="D71" s="189"/>
      <c r="E71" s="189"/>
      <c r="F71" s="190">
        <f t="shared" si="33"/>
        <v>0</v>
      </c>
      <c r="G71" s="190">
        <f t="shared" si="33"/>
        <v>0</v>
      </c>
      <c r="H71" s="190">
        <f t="shared" si="33"/>
        <v>0</v>
      </c>
      <c r="I71" s="191"/>
      <c r="J71" s="190"/>
      <c r="K71" s="190"/>
      <c r="L71" s="192"/>
      <c r="M71" s="190"/>
      <c r="N71" s="190"/>
      <c r="O71" s="191"/>
      <c r="P71" s="165"/>
      <c r="Q71" s="165"/>
      <c r="R71"/>
    </row>
    <row r="72" spans="1:18" s="155" customFormat="1" ht="162.75" x14ac:dyDescent="0.25">
      <c r="A72" s="197" t="s">
        <v>146</v>
      </c>
      <c r="B72" s="198" t="s">
        <v>132</v>
      </c>
      <c r="C72" s="198"/>
      <c r="D72" s="198"/>
      <c r="E72" s="198"/>
      <c r="F72" s="199">
        <f>SUM(F73:F77)</f>
        <v>182502.84</v>
      </c>
      <c r="G72" s="199">
        <f t="shared" ref="G72:H72" si="35">SUM(G73:G77)</f>
        <v>353928.93</v>
      </c>
      <c r="H72" s="199">
        <f t="shared" si="35"/>
        <v>48082.22</v>
      </c>
      <c r="I72" s="200">
        <f t="shared" si="26"/>
        <v>0.14000000000000001</v>
      </c>
      <c r="J72" s="199">
        <f>SUM(J73:J77)</f>
        <v>48082.22</v>
      </c>
      <c r="K72" s="200">
        <f t="shared" ref="K72:K111" si="36">J72/G72</f>
        <v>0.14000000000000001</v>
      </c>
      <c r="L72" s="200"/>
      <c r="M72" s="199">
        <f t="shared" ref="M72" si="37">SUM(M73:M77)</f>
        <v>353928.93</v>
      </c>
      <c r="N72" s="199">
        <f t="shared" ref="N72:N133" si="38">G72-M72</f>
        <v>0</v>
      </c>
      <c r="O72" s="200">
        <f t="shared" si="29"/>
        <v>1</v>
      </c>
      <c r="P72" s="246" t="s">
        <v>169</v>
      </c>
      <c r="Q72" s="167"/>
      <c r="R72" s="253"/>
    </row>
    <row r="73" spans="1:18" s="158" customFormat="1" ht="23.25" x14ac:dyDescent="0.25">
      <c r="A73" s="201"/>
      <c r="B73" s="193" t="s">
        <v>4</v>
      </c>
      <c r="C73" s="193"/>
      <c r="D73" s="193"/>
      <c r="E73" s="193"/>
      <c r="F73" s="202"/>
      <c r="G73" s="203"/>
      <c r="H73" s="202"/>
      <c r="I73" s="192"/>
      <c r="J73" s="202"/>
      <c r="K73" s="192"/>
      <c r="L73" s="192"/>
      <c r="M73" s="203"/>
      <c r="N73" s="202"/>
      <c r="O73" s="192"/>
      <c r="P73" s="169"/>
      <c r="Q73" s="169"/>
      <c r="R73"/>
    </row>
    <row r="74" spans="1:18" s="158" customFormat="1" ht="23.25" x14ac:dyDescent="0.25">
      <c r="A74" s="201"/>
      <c r="B74" s="193" t="s">
        <v>130</v>
      </c>
      <c r="C74" s="193"/>
      <c r="D74" s="193"/>
      <c r="E74" s="193"/>
      <c r="F74" s="202">
        <v>162427.53</v>
      </c>
      <c r="G74" s="202">
        <v>333853.62</v>
      </c>
      <c r="H74" s="202">
        <v>48019.7</v>
      </c>
      <c r="I74" s="192">
        <f t="shared" si="26"/>
        <v>0.14000000000000001</v>
      </c>
      <c r="J74" s="202">
        <v>48019.7</v>
      </c>
      <c r="K74" s="192">
        <f t="shared" si="36"/>
        <v>0.14000000000000001</v>
      </c>
      <c r="L74" s="192"/>
      <c r="M74" s="202">
        <f>G74</f>
        <v>333853.62</v>
      </c>
      <c r="N74" s="202">
        <f t="shared" si="38"/>
        <v>0</v>
      </c>
      <c r="O74" s="192">
        <f t="shared" si="29"/>
        <v>1</v>
      </c>
      <c r="P74" s="169"/>
      <c r="Q74" s="169"/>
      <c r="R74"/>
    </row>
    <row r="75" spans="1:18" s="158" customFormat="1" ht="23.25" x14ac:dyDescent="0.25">
      <c r="A75" s="201"/>
      <c r="B75" s="193" t="s">
        <v>133</v>
      </c>
      <c r="C75" s="193"/>
      <c r="D75" s="193"/>
      <c r="E75" s="193"/>
      <c r="F75" s="202">
        <v>20075.310000000001</v>
      </c>
      <c r="G75" s="202">
        <v>20075.310000000001</v>
      </c>
      <c r="H75" s="202">
        <v>62.52</v>
      </c>
      <c r="I75" s="192">
        <f t="shared" si="26"/>
        <v>0</v>
      </c>
      <c r="J75" s="202">
        <v>62.52</v>
      </c>
      <c r="K75" s="192">
        <f t="shared" si="36"/>
        <v>0</v>
      </c>
      <c r="L75" s="192"/>
      <c r="M75" s="202">
        <f>G75</f>
        <v>20075.310000000001</v>
      </c>
      <c r="N75" s="202">
        <f t="shared" si="38"/>
        <v>0</v>
      </c>
      <c r="O75" s="192">
        <f t="shared" si="29"/>
        <v>1</v>
      </c>
      <c r="P75" s="169"/>
      <c r="Q75" s="169"/>
      <c r="R75"/>
    </row>
    <row r="76" spans="1:18" s="158" customFormat="1" ht="23.25" x14ac:dyDescent="0.25">
      <c r="A76" s="201"/>
      <c r="B76" s="189" t="s">
        <v>13</v>
      </c>
      <c r="C76" s="189"/>
      <c r="D76" s="189"/>
      <c r="E76" s="189"/>
      <c r="F76" s="190"/>
      <c r="G76" s="190"/>
      <c r="H76" s="190"/>
      <c r="I76" s="192"/>
      <c r="J76" s="190"/>
      <c r="K76" s="192"/>
      <c r="L76" s="192"/>
      <c r="M76" s="204"/>
      <c r="N76" s="202"/>
      <c r="O76" s="192"/>
      <c r="P76" s="169"/>
      <c r="Q76" s="169"/>
      <c r="R76"/>
    </row>
    <row r="77" spans="1:18" s="158" customFormat="1" ht="23.25" collapsed="1" x14ac:dyDescent="0.25">
      <c r="A77" s="205"/>
      <c r="B77" s="193" t="s">
        <v>5</v>
      </c>
      <c r="C77" s="193"/>
      <c r="D77" s="193"/>
      <c r="E77" s="193"/>
      <c r="F77" s="202"/>
      <c r="G77" s="203"/>
      <c r="H77" s="202"/>
      <c r="I77" s="192"/>
      <c r="J77" s="202"/>
      <c r="K77" s="192"/>
      <c r="L77" s="192"/>
      <c r="M77" s="203"/>
      <c r="N77" s="202"/>
      <c r="O77" s="192"/>
      <c r="P77" s="165"/>
      <c r="Q77" s="165"/>
      <c r="R77"/>
    </row>
    <row r="78" spans="1:18" s="155" customFormat="1" ht="93" x14ac:dyDescent="0.25">
      <c r="A78" s="197" t="s">
        <v>147</v>
      </c>
      <c r="B78" s="198" t="s">
        <v>134</v>
      </c>
      <c r="C78" s="198"/>
      <c r="D78" s="198"/>
      <c r="E78" s="198"/>
      <c r="F78" s="199">
        <f t="shared" ref="F78:H78" si="39">SUM(F79:F83)</f>
        <v>68734.539999999994</v>
      </c>
      <c r="G78" s="199">
        <f t="shared" si="39"/>
        <v>164550.96</v>
      </c>
      <c r="H78" s="199">
        <f t="shared" si="39"/>
        <v>37973.94</v>
      </c>
      <c r="I78" s="200">
        <f t="shared" si="26"/>
        <v>0.23</v>
      </c>
      <c r="J78" s="199">
        <f>SUM(J79:J83)</f>
        <v>34431.269999999997</v>
      </c>
      <c r="K78" s="200">
        <f t="shared" si="36"/>
        <v>0.21</v>
      </c>
      <c r="L78" s="200"/>
      <c r="M78" s="199">
        <f>SUM(M79:M83)</f>
        <v>164550.96</v>
      </c>
      <c r="N78" s="199">
        <f t="shared" si="38"/>
        <v>0</v>
      </c>
      <c r="O78" s="200">
        <f t="shared" si="29"/>
        <v>1</v>
      </c>
      <c r="P78" s="246" t="s">
        <v>170</v>
      </c>
      <c r="Q78" s="167"/>
      <c r="R78" s="258"/>
    </row>
    <row r="79" spans="1:18" s="158" customFormat="1" ht="23.25" x14ac:dyDescent="0.25">
      <c r="A79" s="201"/>
      <c r="B79" s="193" t="s">
        <v>4</v>
      </c>
      <c r="C79" s="193"/>
      <c r="D79" s="193"/>
      <c r="E79" s="193"/>
      <c r="F79" s="202"/>
      <c r="G79" s="203"/>
      <c r="H79" s="202"/>
      <c r="I79" s="192"/>
      <c r="J79" s="202"/>
      <c r="K79" s="192"/>
      <c r="L79" s="192"/>
      <c r="M79" s="202"/>
      <c r="N79" s="202"/>
      <c r="O79" s="192"/>
      <c r="P79" s="169"/>
      <c r="Q79" s="169"/>
      <c r="R79"/>
    </row>
    <row r="80" spans="1:18" s="158" customFormat="1" ht="23.25" x14ac:dyDescent="0.25">
      <c r="A80" s="201"/>
      <c r="B80" s="193" t="s">
        <v>130</v>
      </c>
      <c r="C80" s="193"/>
      <c r="D80" s="193"/>
      <c r="E80" s="193"/>
      <c r="F80" s="202">
        <v>56665.82</v>
      </c>
      <c r="G80" s="202">
        <v>152482.23999999999</v>
      </c>
      <c r="H80" s="202">
        <v>31626.26</v>
      </c>
      <c r="I80" s="192">
        <f t="shared" si="26"/>
        <v>0.21</v>
      </c>
      <c r="J80" s="202">
        <v>28083.59</v>
      </c>
      <c r="K80" s="192">
        <f t="shared" si="36"/>
        <v>0.18</v>
      </c>
      <c r="L80" s="192"/>
      <c r="M80" s="202">
        <f>G80</f>
        <v>152482.23999999999</v>
      </c>
      <c r="N80" s="202">
        <f t="shared" si="38"/>
        <v>0</v>
      </c>
      <c r="O80" s="192">
        <f t="shared" si="29"/>
        <v>1</v>
      </c>
      <c r="P80" s="165"/>
      <c r="Q80" s="165"/>
      <c r="R80"/>
    </row>
    <row r="81" spans="1:18" s="158" customFormat="1" ht="23.25" x14ac:dyDescent="0.25">
      <c r="A81" s="201"/>
      <c r="B81" s="189" t="s">
        <v>133</v>
      </c>
      <c r="C81" s="189"/>
      <c r="D81" s="189"/>
      <c r="E81" s="189"/>
      <c r="F81" s="190">
        <v>12068.72</v>
      </c>
      <c r="G81" s="190">
        <f>25298.77-13230.05</f>
        <v>12068.72</v>
      </c>
      <c r="H81" s="190">
        <f>J81</f>
        <v>6347.68</v>
      </c>
      <c r="I81" s="191">
        <f t="shared" si="26"/>
        <v>0.53</v>
      </c>
      <c r="J81" s="190">
        <f>6165.02+182.66</f>
        <v>6347.68</v>
      </c>
      <c r="K81" s="191">
        <f t="shared" si="36"/>
        <v>0.53</v>
      </c>
      <c r="L81" s="191"/>
      <c r="M81" s="202">
        <f>G81</f>
        <v>12068.72</v>
      </c>
      <c r="N81" s="190">
        <f t="shared" si="38"/>
        <v>0</v>
      </c>
      <c r="O81" s="191">
        <f t="shared" si="29"/>
        <v>1</v>
      </c>
      <c r="P81" s="165"/>
      <c r="Q81" s="165"/>
      <c r="R81"/>
    </row>
    <row r="82" spans="1:18" s="158" customFormat="1" ht="23.25" x14ac:dyDescent="0.25">
      <c r="A82" s="201"/>
      <c r="B82" s="189" t="s">
        <v>13</v>
      </c>
      <c r="C82" s="189"/>
      <c r="D82" s="189"/>
      <c r="E82" s="189"/>
      <c r="F82" s="190"/>
      <c r="G82" s="204"/>
      <c r="H82" s="190"/>
      <c r="I82" s="191"/>
      <c r="J82" s="190"/>
      <c r="K82" s="191"/>
      <c r="L82" s="191"/>
      <c r="M82" s="190"/>
      <c r="N82" s="190"/>
      <c r="O82" s="191"/>
      <c r="P82" s="169"/>
      <c r="Q82" s="169"/>
      <c r="R82"/>
    </row>
    <row r="83" spans="1:18" s="158" customFormat="1" ht="23.25" collapsed="1" x14ac:dyDescent="0.25">
      <c r="A83" s="205"/>
      <c r="B83" s="189" t="s">
        <v>5</v>
      </c>
      <c r="C83" s="189"/>
      <c r="D83" s="189"/>
      <c r="E83" s="189"/>
      <c r="F83" s="190"/>
      <c r="G83" s="204"/>
      <c r="H83" s="190"/>
      <c r="I83" s="191"/>
      <c r="J83" s="190"/>
      <c r="K83" s="191"/>
      <c r="L83" s="191"/>
      <c r="M83" s="190"/>
      <c r="N83" s="190"/>
      <c r="O83" s="191"/>
      <c r="P83" s="165"/>
      <c r="Q83" s="165"/>
      <c r="R83"/>
    </row>
    <row r="84" spans="1:18" s="155" customFormat="1" ht="93" x14ac:dyDescent="0.25">
      <c r="A84" s="197" t="s">
        <v>148</v>
      </c>
      <c r="B84" s="198" t="s">
        <v>135</v>
      </c>
      <c r="C84" s="198"/>
      <c r="D84" s="198"/>
      <c r="E84" s="198"/>
      <c r="F84" s="199">
        <f t="shared" ref="F84:H84" si="40">SUM(F85:F89)</f>
        <v>143570.91</v>
      </c>
      <c r="G84" s="199">
        <f t="shared" si="40"/>
        <v>143570.91</v>
      </c>
      <c r="H84" s="199">
        <f t="shared" si="40"/>
        <v>30812.11</v>
      </c>
      <c r="I84" s="200">
        <f t="shared" si="26"/>
        <v>0.21</v>
      </c>
      <c r="J84" s="199">
        <f>SUM(J85:J89)</f>
        <v>30812.11</v>
      </c>
      <c r="K84" s="200">
        <f t="shared" si="36"/>
        <v>0.21</v>
      </c>
      <c r="L84" s="200"/>
      <c r="M84" s="199">
        <f>SUM(M85:M89)</f>
        <v>143570.91</v>
      </c>
      <c r="N84" s="199">
        <f t="shared" si="38"/>
        <v>0</v>
      </c>
      <c r="O84" s="200">
        <f t="shared" si="29"/>
        <v>1</v>
      </c>
      <c r="P84" s="167"/>
      <c r="Q84" s="167"/>
      <c r="R84" s="253"/>
    </row>
    <row r="85" spans="1:18" s="158" customFormat="1" ht="23.25" x14ac:dyDescent="0.25">
      <c r="A85" s="201"/>
      <c r="B85" s="193" t="s">
        <v>4</v>
      </c>
      <c r="C85" s="193"/>
      <c r="D85" s="193"/>
      <c r="E85" s="193"/>
      <c r="F85" s="202">
        <f>F91</f>
        <v>0</v>
      </c>
      <c r="G85" s="202">
        <f t="shared" ref="G85:H86" si="41">G91</f>
        <v>0</v>
      </c>
      <c r="H85" s="202">
        <f t="shared" si="41"/>
        <v>0</v>
      </c>
      <c r="I85" s="192"/>
      <c r="J85" s="202"/>
      <c r="K85" s="192"/>
      <c r="L85" s="192"/>
      <c r="M85" s="202"/>
      <c r="N85" s="202"/>
      <c r="O85" s="192"/>
      <c r="P85" s="169"/>
      <c r="Q85" s="169"/>
      <c r="R85"/>
    </row>
    <row r="86" spans="1:18" s="158" customFormat="1" ht="23.25" x14ac:dyDescent="0.25">
      <c r="A86" s="201"/>
      <c r="B86" s="193" t="s">
        <v>130</v>
      </c>
      <c r="C86" s="193"/>
      <c r="D86" s="193"/>
      <c r="E86" s="193"/>
      <c r="F86" s="202">
        <f>F92</f>
        <v>113452</v>
      </c>
      <c r="G86" s="202">
        <f t="shared" si="41"/>
        <v>113452</v>
      </c>
      <c r="H86" s="202">
        <f t="shared" si="41"/>
        <v>24649.69</v>
      </c>
      <c r="I86" s="206">
        <f t="shared" si="26"/>
        <v>0.217</v>
      </c>
      <c r="J86" s="202">
        <f t="shared" ref="J86:J88" si="42">J92</f>
        <v>24649.69</v>
      </c>
      <c r="K86" s="206">
        <f t="shared" si="36"/>
        <v>0.217</v>
      </c>
      <c r="L86" s="192"/>
      <c r="M86" s="202">
        <f t="shared" ref="M86:M88" si="43">M92</f>
        <v>113452</v>
      </c>
      <c r="N86" s="202">
        <f t="shared" si="38"/>
        <v>0</v>
      </c>
      <c r="O86" s="192">
        <f t="shared" si="29"/>
        <v>1</v>
      </c>
      <c r="P86" s="169"/>
      <c r="Q86" s="169"/>
      <c r="R86"/>
    </row>
    <row r="87" spans="1:18" s="158" customFormat="1" ht="23.25" x14ac:dyDescent="0.25">
      <c r="A87" s="201"/>
      <c r="B87" s="193" t="s">
        <v>133</v>
      </c>
      <c r="C87" s="193"/>
      <c r="D87" s="193"/>
      <c r="E87" s="193"/>
      <c r="F87" s="202">
        <f t="shared" ref="F87:H89" si="44">F93</f>
        <v>28363</v>
      </c>
      <c r="G87" s="202">
        <f t="shared" si="44"/>
        <v>28363</v>
      </c>
      <c r="H87" s="202">
        <f t="shared" si="44"/>
        <v>6162.42</v>
      </c>
      <c r="I87" s="192">
        <f t="shared" si="26"/>
        <v>0.22</v>
      </c>
      <c r="J87" s="202">
        <f t="shared" si="42"/>
        <v>6162.42</v>
      </c>
      <c r="K87" s="192">
        <f t="shared" si="36"/>
        <v>0.22</v>
      </c>
      <c r="L87" s="192"/>
      <c r="M87" s="202">
        <f t="shared" si="43"/>
        <v>28363</v>
      </c>
      <c r="N87" s="202">
        <f t="shared" si="38"/>
        <v>0</v>
      </c>
      <c r="O87" s="192">
        <f t="shared" si="29"/>
        <v>1</v>
      </c>
      <c r="P87" s="169"/>
      <c r="Q87" s="169"/>
      <c r="R87"/>
    </row>
    <row r="88" spans="1:18" s="158" customFormat="1" ht="23.25" x14ac:dyDescent="0.25">
      <c r="A88" s="201"/>
      <c r="B88" s="189" t="s">
        <v>13</v>
      </c>
      <c r="C88" s="189"/>
      <c r="D88" s="189"/>
      <c r="E88" s="189"/>
      <c r="F88" s="202">
        <f t="shared" si="44"/>
        <v>1755.91</v>
      </c>
      <c r="G88" s="202">
        <f t="shared" si="44"/>
        <v>1755.91</v>
      </c>
      <c r="H88" s="202">
        <f t="shared" si="44"/>
        <v>0</v>
      </c>
      <c r="I88" s="192">
        <f t="shared" si="26"/>
        <v>0</v>
      </c>
      <c r="J88" s="202">
        <f t="shared" si="42"/>
        <v>0</v>
      </c>
      <c r="K88" s="192">
        <f t="shared" si="36"/>
        <v>0</v>
      </c>
      <c r="L88" s="192"/>
      <c r="M88" s="202">
        <f t="shared" si="43"/>
        <v>1755.91</v>
      </c>
      <c r="N88" s="202">
        <f t="shared" si="38"/>
        <v>0</v>
      </c>
      <c r="O88" s="192">
        <f t="shared" si="29"/>
        <v>1</v>
      </c>
      <c r="P88" s="169"/>
      <c r="Q88" s="169"/>
      <c r="R88"/>
    </row>
    <row r="89" spans="1:18" s="158" customFormat="1" ht="23.25" collapsed="1" x14ac:dyDescent="0.25">
      <c r="A89" s="205"/>
      <c r="B89" s="193" t="s">
        <v>5</v>
      </c>
      <c r="C89" s="193"/>
      <c r="D89" s="193"/>
      <c r="E89" s="193"/>
      <c r="F89" s="202">
        <f t="shared" si="44"/>
        <v>0</v>
      </c>
      <c r="G89" s="202">
        <f t="shared" si="44"/>
        <v>0</v>
      </c>
      <c r="H89" s="202">
        <f t="shared" si="44"/>
        <v>0</v>
      </c>
      <c r="I89" s="192"/>
      <c r="J89" s="202"/>
      <c r="K89" s="192"/>
      <c r="L89" s="192"/>
      <c r="M89" s="202"/>
      <c r="N89" s="202"/>
      <c r="O89" s="192"/>
      <c r="P89" s="165"/>
      <c r="Q89" s="165"/>
      <c r="R89"/>
    </row>
    <row r="90" spans="1:18" s="170" customFormat="1" ht="186" x14ac:dyDescent="0.25">
      <c r="A90" s="197" t="s">
        <v>149</v>
      </c>
      <c r="B90" s="198" t="s">
        <v>136</v>
      </c>
      <c r="C90" s="198"/>
      <c r="D90" s="198"/>
      <c r="E90" s="198"/>
      <c r="F90" s="199">
        <f t="shared" ref="F90:H90" si="45">SUM(F91:F95)</f>
        <v>143570.91</v>
      </c>
      <c r="G90" s="199">
        <f t="shared" si="45"/>
        <v>143570.91</v>
      </c>
      <c r="H90" s="199">
        <f t="shared" si="45"/>
        <v>30812.11</v>
      </c>
      <c r="I90" s="200">
        <f t="shared" si="26"/>
        <v>0.21</v>
      </c>
      <c r="J90" s="199">
        <f>SUM(J91:J95)</f>
        <v>30812.11</v>
      </c>
      <c r="K90" s="200">
        <f t="shared" si="36"/>
        <v>0.21</v>
      </c>
      <c r="L90" s="200"/>
      <c r="M90" s="199">
        <f>SUM(M91:M95)</f>
        <v>143570.91</v>
      </c>
      <c r="N90" s="199">
        <f t="shared" si="38"/>
        <v>0</v>
      </c>
      <c r="O90" s="200">
        <f t="shared" si="29"/>
        <v>1</v>
      </c>
      <c r="P90" s="246" t="s">
        <v>171</v>
      </c>
      <c r="Q90" s="167"/>
      <c r="R90" s="253"/>
    </row>
    <row r="91" spans="1:18" s="158" customFormat="1" ht="23.25" x14ac:dyDescent="0.25">
      <c r="A91" s="201"/>
      <c r="B91" s="193" t="s">
        <v>4</v>
      </c>
      <c r="C91" s="193"/>
      <c r="D91" s="193"/>
      <c r="E91" s="193"/>
      <c r="F91" s="202"/>
      <c r="G91" s="203"/>
      <c r="H91" s="202"/>
      <c r="I91" s="192"/>
      <c r="J91" s="202"/>
      <c r="K91" s="192"/>
      <c r="L91" s="192"/>
      <c r="M91" s="202"/>
      <c r="N91" s="202"/>
      <c r="O91" s="192"/>
      <c r="P91" s="169"/>
      <c r="Q91" s="169"/>
      <c r="R91"/>
    </row>
    <row r="92" spans="1:18" s="158" customFormat="1" ht="23.25" x14ac:dyDescent="0.25">
      <c r="A92" s="201"/>
      <c r="B92" s="193" t="s">
        <v>130</v>
      </c>
      <c r="C92" s="193"/>
      <c r="D92" s="193"/>
      <c r="E92" s="193"/>
      <c r="F92" s="202">
        <v>113452</v>
      </c>
      <c r="G92" s="202">
        <v>113452</v>
      </c>
      <c r="H92" s="202">
        <v>24649.69</v>
      </c>
      <c r="I92" s="206">
        <f t="shared" ref="I92:I111" si="46">H92/G92</f>
        <v>0.217</v>
      </c>
      <c r="J92" s="202">
        <f>H92</f>
        <v>24649.69</v>
      </c>
      <c r="K92" s="206">
        <f t="shared" si="36"/>
        <v>0.217</v>
      </c>
      <c r="L92" s="192"/>
      <c r="M92" s="202">
        <f>G92</f>
        <v>113452</v>
      </c>
      <c r="N92" s="202">
        <f t="shared" si="38"/>
        <v>0</v>
      </c>
      <c r="O92" s="192">
        <f t="shared" si="29"/>
        <v>1</v>
      </c>
      <c r="P92" s="169"/>
      <c r="Q92" s="169"/>
      <c r="R92"/>
    </row>
    <row r="93" spans="1:18" s="158" customFormat="1" ht="23.25" x14ac:dyDescent="0.25">
      <c r="A93" s="201"/>
      <c r="B93" s="193" t="s">
        <v>133</v>
      </c>
      <c r="C93" s="193"/>
      <c r="D93" s="193"/>
      <c r="E93" s="193"/>
      <c r="F93" s="202">
        <v>28363</v>
      </c>
      <c r="G93" s="202">
        <v>28363</v>
      </c>
      <c r="H93" s="202">
        <f>J93</f>
        <v>6162.42</v>
      </c>
      <c r="I93" s="192">
        <f t="shared" si="46"/>
        <v>0.22</v>
      </c>
      <c r="J93" s="202">
        <v>6162.42</v>
      </c>
      <c r="K93" s="192">
        <f t="shared" si="36"/>
        <v>0.22</v>
      </c>
      <c r="L93" s="192"/>
      <c r="M93" s="202">
        <f>G93</f>
        <v>28363</v>
      </c>
      <c r="N93" s="202">
        <f t="shared" si="38"/>
        <v>0</v>
      </c>
      <c r="O93" s="192">
        <f t="shared" si="29"/>
        <v>1</v>
      </c>
      <c r="P93" s="169"/>
      <c r="Q93" s="169"/>
      <c r="R93"/>
    </row>
    <row r="94" spans="1:18" s="158" customFormat="1" ht="23.25" x14ac:dyDescent="0.25">
      <c r="A94" s="201"/>
      <c r="B94" s="189" t="s">
        <v>13</v>
      </c>
      <c r="C94" s="189"/>
      <c r="D94" s="189"/>
      <c r="E94" s="189"/>
      <c r="F94" s="190">
        <v>1755.91</v>
      </c>
      <c r="G94" s="190">
        <v>1755.91</v>
      </c>
      <c r="H94" s="190"/>
      <c r="I94" s="192">
        <f t="shared" si="46"/>
        <v>0</v>
      </c>
      <c r="J94" s="190"/>
      <c r="K94" s="192">
        <f t="shared" si="36"/>
        <v>0</v>
      </c>
      <c r="L94" s="192"/>
      <c r="M94" s="202">
        <f>G94</f>
        <v>1755.91</v>
      </c>
      <c r="N94" s="202">
        <f t="shared" si="38"/>
        <v>0</v>
      </c>
      <c r="O94" s="192">
        <f t="shared" si="29"/>
        <v>1</v>
      </c>
      <c r="P94" s="169"/>
      <c r="Q94" s="169"/>
      <c r="R94"/>
    </row>
    <row r="95" spans="1:18" s="158" customFormat="1" ht="23.25" collapsed="1" x14ac:dyDescent="0.25">
      <c r="A95" s="205"/>
      <c r="B95" s="193" t="s">
        <v>5</v>
      </c>
      <c r="C95" s="193"/>
      <c r="D95" s="193"/>
      <c r="E95" s="193"/>
      <c r="F95" s="202"/>
      <c r="G95" s="203"/>
      <c r="H95" s="202"/>
      <c r="I95" s="192"/>
      <c r="J95" s="202"/>
      <c r="K95" s="192"/>
      <c r="L95" s="192"/>
      <c r="M95" s="202"/>
      <c r="N95" s="202"/>
      <c r="O95" s="192"/>
      <c r="P95" s="165"/>
      <c r="Q95" s="165"/>
      <c r="R95"/>
    </row>
    <row r="96" spans="1:18" s="158" customFormat="1" ht="139.5" x14ac:dyDescent="0.25">
      <c r="A96" s="201" t="s">
        <v>150</v>
      </c>
      <c r="B96" s="207" t="s">
        <v>137</v>
      </c>
      <c r="C96" s="207"/>
      <c r="D96" s="207"/>
      <c r="E96" s="207"/>
      <c r="F96" s="199">
        <f>SUM(F97:F101)</f>
        <v>923935.22</v>
      </c>
      <c r="G96" s="199">
        <f>SUM(G97:G101)</f>
        <v>923935.22</v>
      </c>
      <c r="H96" s="199">
        <f>SUM(H97:H101)</f>
        <v>923934.51</v>
      </c>
      <c r="I96" s="200">
        <f t="shared" si="46"/>
        <v>1</v>
      </c>
      <c r="J96" s="199">
        <f>SUM(J97:J101)</f>
        <v>923934.51</v>
      </c>
      <c r="K96" s="200">
        <f t="shared" si="36"/>
        <v>1</v>
      </c>
      <c r="L96" s="200"/>
      <c r="M96" s="199">
        <f>SUM(M97:M101)</f>
        <v>923935.22</v>
      </c>
      <c r="N96" s="199">
        <f t="shared" si="38"/>
        <v>0</v>
      </c>
      <c r="O96" s="200">
        <f t="shared" si="29"/>
        <v>1</v>
      </c>
      <c r="P96" s="246" t="s">
        <v>159</v>
      </c>
      <c r="Q96" s="169"/>
      <c r="R96" s="254"/>
    </row>
    <row r="97" spans="1:18" s="158" customFormat="1" ht="23.25" x14ac:dyDescent="0.25">
      <c r="A97" s="201"/>
      <c r="B97" s="193" t="s">
        <v>4</v>
      </c>
      <c r="C97" s="193"/>
      <c r="D97" s="193"/>
      <c r="E97" s="193"/>
      <c r="F97" s="202"/>
      <c r="G97" s="202"/>
      <c r="H97" s="202"/>
      <c r="I97" s="192"/>
      <c r="J97" s="202"/>
      <c r="K97" s="192"/>
      <c r="L97" s="192"/>
      <c r="M97" s="202"/>
      <c r="N97" s="202"/>
      <c r="O97" s="192"/>
      <c r="P97" s="169"/>
      <c r="Q97" s="169"/>
      <c r="R97" s="254"/>
    </row>
    <row r="98" spans="1:18" s="158" customFormat="1" ht="23.25" x14ac:dyDescent="0.25">
      <c r="A98" s="201"/>
      <c r="B98" s="193" t="s">
        <v>130</v>
      </c>
      <c r="C98" s="193"/>
      <c r="D98" s="193"/>
      <c r="E98" s="193"/>
      <c r="F98" s="202">
        <v>830000</v>
      </c>
      <c r="G98" s="202">
        <v>830000</v>
      </c>
      <c r="H98" s="202">
        <f>J98</f>
        <v>830000</v>
      </c>
      <c r="I98" s="192">
        <f t="shared" si="46"/>
        <v>1</v>
      </c>
      <c r="J98" s="202">
        <v>830000</v>
      </c>
      <c r="K98" s="192">
        <f t="shared" si="36"/>
        <v>1</v>
      </c>
      <c r="L98" s="192"/>
      <c r="M98" s="202">
        <f>G98</f>
        <v>830000</v>
      </c>
      <c r="N98" s="202">
        <f t="shared" si="38"/>
        <v>0</v>
      </c>
      <c r="O98" s="192">
        <f t="shared" si="29"/>
        <v>1</v>
      </c>
      <c r="P98" s="169"/>
      <c r="Q98" s="169"/>
      <c r="R98" s="254"/>
    </row>
    <row r="99" spans="1:18" s="158" customFormat="1" ht="23.25" x14ac:dyDescent="0.25">
      <c r="A99" s="201"/>
      <c r="B99" s="193" t="s">
        <v>133</v>
      </c>
      <c r="C99" s="193"/>
      <c r="D99" s="193"/>
      <c r="E99" s="193"/>
      <c r="F99" s="202">
        <v>93935.22</v>
      </c>
      <c r="G99" s="202">
        <v>93935.22</v>
      </c>
      <c r="H99" s="202">
        <f>J99</f>
        <v>93934.51</v>
      </c>
      <c r="I99" s="192">
        <f t="shared" si="46"/>
        <v>1</v>
      </c>
      <c r="J99" s="202">
        <v>93934.51</v>
      </c>
      <c r="K99" s="192">
        <f t="shared" si="36"/>
        <v>1</v>
      </c>
      <c r="L99" s="192"/>
      <c r="M99" s="202">
        <f>G99</f>
        <v>93935.22</v>
      </c>
      <c r="N99" s="202">
        <f t="shared" si="38"/>
        <v>0</v>
      </c>
      <c r="O99" s="192">
        <f t="shared" si="29"/>
        <v>1</v>
      </c>
      <c r="P99" s="169"/>
      <c r="Q99" s="169"/>
      <c r="R99" s="254"/>
    </row>
    <row r="100" spans="1:18" s="158" customFormat="1" ht="23.25" x14ac:dyDescent="0.25">
      <c r="A100" s="201"/>
      <c r="B100" s="189" t="s">
        <v>13</v>
      </c>
      <c r="C100" s="189"/>
      <c r="D100" s="189"/>
      <c r="E100" s="189"/>
      <c r="F100" s="202"/>
      <c r="G100" s="202"/>
      <c r="H100" s="202"/>
      <c r="I100" s="192"/>
      <c r="J100" s="202"/>
      <c r="K100" s="192"/>
      <c r="L100" s="192"/>
      <c r="M100" s="202"/>
      <c r="N100" s="202"/>
      <c r="O100" s="192"/>
      <c r="P100" s="169"/>
      <c r="Q100" s="169"/>
      <c r="R100" s="254"/>
    </row>
    <row r="101" spans="1:18" s="158" customFormat="1" ht="23.25" x14ac:dyDescent="0.25">
      <c r="A101" s="201"/>
      <c r="B101" s="193" t="s">
        <v>5</v>
      </c>
      <c r="C101" s="193"/>
      <c r="D101" s="193"/>
      <c r="E101" s="193"/>
      <c r="F101" s="202"/>
      <c r="G101" s="202"/>
      <c r="H101" s="202"/>
      <c r="I101" s="192"/>
      <c r="J101" s="202"/>
      <c r="K101" s="192"/>
      <c r="L101" s="192"/>
      <c r="M101" s="202"/>
      <c r="N101" s="202"/>
      <c r="O101" s="192"/>
      <c r="P101" s="169"/>
      <c r="Q101" s="169"/>
      <c r="R101" s="254"/>
    </row>
    <row r="102" spans="1:18" s="155" customFormat="1" ht="98.25" customHeight="1" x14ac:dyDescent="0.25">
      <c r="A102" s="183" t="s">
        <v>151</v>
      </c>
      <c r="B102" s="184" t="s">
        <v>138</v>
      </c>
      <c r="C102" s="184"/>
      <c r="D102" s="184"/>
      <c r="E102" s="184"/>
      <c r="F102" s="185">
        <f t="shared" ref="F102:H102" si="47">SUM(F103:F107)</f>
        <v>24354.82</v>
      </c>
      <c r="G102" s="185">
        <f t="shared" si="47"/>
        <v>25102.98</v>
      </c>
      <c r="H102" s="185">
        <f t="shared" si="47"/>
        <v>22211.38</v>
      </c>
      <c r="I102" s="187">
        <f t="shared" si="46"/>
        <v>0.88500000000000001</v>
      </c>
      <c r="J102" s="185">
        <f>SUM(J103:J107)</f>
        <v>5794.61</v>
      </c>
      <c r="K102" s="187">
        <f t="shared" si="36"/>
        <v>0.23100000000000001</v>
      </c>
      <c r="L102" s="248">
        <f>SUM(L103:L107)</f>
        <v>16714.12</v>
      </c>
      <c r="M102" s="185">
        <f t="shared" ref="M102" si="48">SUM(M103:M107)</f>
        <v>25102.98</v>
      </c>
      <c r="N102" s="281">
        <f t="shared" si="38"/>
        <v>0</v>
      </c>
      <c r="O102" s="186">
        <f t="shared" si="29"/>
        <v>1</v>
      </c>
      <c r="P102" s="171"/>
      <c r="Q102" s="171"/>
      <c r="R102" s="253"/>
    </row>
    <row r="103" spans="1:18" s="158" customFormat="1" ht="23.25" x14ac:dyDescent="0.25">
      <c r="A103" s="188"/>
      <c r="B103" s="193" t="s">
        <v>4</v>
      </c>
      <c r="C103" s="193"/>
      <c r="D103" s="193"/>
      <c r="E103" s="193"/>
      <c r="F103" s="202">
        <f>F127+F109+F115+F121+F133</f>
        <v>14306.5</v>
      </c>
      <c r="G103" s="202">
        <f t="shared" ref="G103:H103" si="49">G127+G109+G115+G121+G133</f>
        <v>17057.03</v>
      </c>
      <c r="H103" s="202">
        <f t="shared" si="49"/>
        <v>14618.93</v>
      </c>
      <c r="I103" s="192">
        <f t="shared" si="46"/>
        <v>0.86</v>
      </c>
      <c r="J103" s="202">
        <f t="shared" ref="J103:J105" si="50">J127+J109+J115+J121+J133</f>
        <v>4558.03</v>
      </c>
      <c r="K103" s="192">
        <f t="shared" si="36"/>
        <v>0.27</v>
      </c>
      <c r="L103" s="249">
        <f>L109+L115+L121+L127+L133</f>
        <v>10060.9</v>
      </c>
      <c r="M103" s="202">
        <f t="shared" ref="M103:M105" si="51">M127+M109+M115+M121+M133</f>
        <v>17057.03</v>
      </c>
      <c r="N103" s="202">
        <f t="shared" si="38"/>
        <v>0</v>
      </c>
      <c r="O103" s="192">
        <f t="shared" si="29"/>
        <v>1</v>
      </c>
      <c r="P103" s="169"/>
      <c r="Q103" s="169"/>
      <c r="R103"/>
    </row>
    <row r="104" spans="1:18" s="158" customFormat="1" ht="23.25" x14ac:dyDescent="0.25">
      <c r="A104" s="188"/>
      <c r="B104" s="193" t="s">
        <v>130</v>
      </c>
      <c r="C104" s="193"/>
      <c r="D104" s="193"/>
      <c r="E104" s="193"/>
      <c r="F104" s="202">
        <f t="shared" ref="F104:H107" si="52">F128+F110+F116+F122+F134</f>
        <v>9594.82</v>
      </c>
      <c r="G104" s="202">
        <f t="shared" si="52"/>
        <v>7592.45</v>
      </c>
      <c r="H104" s="202">
        <f t="shared" si="52"/>
        <v>7592.45</v>
      </c>
      <c r="I104" s="192">
        <f t="shared" si="46"/>
        <v>1</v>
      </c>
      <c r="J104" s="202">
        <f t="shared" si="50"/>
        <v>1236.58</v>
      </c>
      <c r="K104" s="192">
        <f t="shared" si="36"/>
        <v>0.16</v>
      </c>
      <c r="L104" s="249">
        <f>L110+L116+L122+L128+L134</f>
        <v>6199.72</v>
      </c>
      <c r="M104" s="202">
        <f t="shared" si="51"/>
        <v>7592.45</v>
      </c>
      <c r="N104" s="202">
        <f t="shared" si="38"/>
        <v>0</v>
      </c>
      <c r="O104" s="192">
        <f t="shared" si="29"/>
        <v>1</v>
      </c>
      <c r="P104" s="169"/>
      <c r="Q104" s="169"/>
      <c r="R104"/>
    </row>
    <row r="105" spans="1:18" s="158" customFormat="1" ht="23.25" x14ac:dyDescent="0.25">
      <c r="A105" s="188"/>
      <c r="B105" s="193" t="s">
        <v>133</v>
      </c>
      <c r="C105" s="193"/>
      <c r="D105" s="193"/>
      <c r="E105" s="193"/>
      <c r="F105" s="202">
        <f t="shared" si="52"/>
        <v>453.5</v>
      </c>
      <c r="G105" s="202">
        <f t="shared" si="52"/>
        <v>453.5</v>
      </c>
      <c r="H105" s="202">
        <f t="shared" si="52"/>
        <v>0</v>
      </c>
      <c r="I105" s="192">
        <f t="shared" si="46"/>
        <v>0</v>
      </c>
      <c r="J105" s="202">
        <f t="shared" si="50"/>
        <v>0</v>
      </c>
      <c r="K105" s="192">
        <f t="shared" si="36"/>
        <v>0</v>
      </c>
      <c r="L105" s="249">
        <f>L111+L117+L123+L129+L135</f>
        <v>453.5</v>
      </c>
      <c r="M105" s="202">
        <f t="shared" si="51"/>
        <v>453.5</v>
      </c>
      <c r="N105" s="202">
        <f t="shared" si="38"/>
        <v>0</v>
      </c>
      <c r="O105" s="192">
        <f t="shared" si="29"/>
        <v>1</v>
      </c>
      <c r="P105" s="169"/>
      <c r="Q105" s="169"/>
      <c r="R105"/>
    </row>
    <row r="106" spans="1:18" s="158" customFormat="1" ht="23.25" x14ac:dyDescent="0.25">
      <c r="A106" s="188"/>
      <c r="B106" s="189" t="s">
        <v>13</v>
      </c>
      <c r="C106" s="189"/>
      <c r="D106" s="189"/>
      <c r="E106" s="189"/>
      <c r="F106" s="202">
        <f t="shared" si="52"/>
        <v>0</v>
      </c>
      <c r="G106" s="202">
        <f t="shared" si="52"/>
        <v>0</v>
      </c>
      <c r="H106" s="202">
        <f t="shared" si="52"/>
        <v>0</v>
      </c>
      <c r="I106" s="192"/>
      <c r="J106" s="202"/>
      <c r="K106" s="192"/>
      <c r="L106" s="249"/>
      <c r="M106" s="202"/>
      <c r="N106" s="202"/>
      <c r="O106" s="192"/>
      <c r="P106" s="169"/>
      <c r="Q106" s="169"/>
      <c r="R106"/>
    </row>
    <row r="107" spans="1:18" s="158" customFormat="1" ht="23.25" collapsed="1" x14ac:dyDescent="0.25">
      <c r="A107" s="196"/>
      <c r="B107" s="193" t="s">
        <v>5</v>
      </c>
      <c r="C107" s="193"/>
      <c r="D107" s="193"/>
      <c r="E107" s="193"/>
      <c r="F107" s="202">
        <f t="shared" si="52"/>
        <v>0</v>
      </c>
      <c r="G107" s="202">
        <f t="shared" si="52"/>
        <v>0</v>
      </c>
      <c r="H107" s="202">
        <f t="shared" si="52"/>
        <v>0</v>
      </c>
      <c r="I107" s="192"/>
      <c r="J107" s="202"/>
      <c r="K107" s="192"/>
      <c r="L107" s="249"/>
      <c r="M107" s="202"/>
      <c r="N107" s="202"/>
      <c r="O107" s="192"/>
      <c r="P107" s="165"/>
      <c r="Q107" s="165"/>
      <c r="R107"/>
    </row>
    <row r="108" spans="1:18" s="215" customFormat="1" ht="150" customHeight="1" x14ac:dyDescent="0.25">
      <c r="A108" s="197" t="s">
        <v>152</v>
      </c>
      <c r="B108" s="198" t="s">
        <v>139</v>
      </c>
      <c r="C108" s="198"/>
      <c r="D108" s="198"/>
      <c r="E108" s="198"/>
      <c r="F108" s="199">
        <f t="shared" ref="F108:H108" si="53">SUM(F109:F113)</f>
        <v>8686.6200000000008</v>
      </c>
      <c r="G108" s="199">
        <f t="shared" si="53"/>
        <v>7596.36</v>
      </c>
      <c r="H108" s="199">
        <f t="shared" si="53"/>
        <v>7142.86</v>
      </c>
      <c r="I108" s="200">
        <f>H108/G108</f>
        <v>0.94</v>
      </c>
      <c r="J108" s="199">
        <f>SUM(J109:J113)</f>
        <v>0</v>
      </c>
      <c r="K108" s="200">
        <f t="shared" si="36"/>
        <v>0</v>
      </c>
      <c r="L108" s="199">
        <f>L109+L110+L111</f>
        <v>7596.36</v>
      </c>
      <c r="M108" s="200">
        <f>M109+M110+M111</f>
        <v>7596.36</v>
      </c>
      <c r="N108" s="200">
        <f>N109+N110+N111</f>
        <v>0</v>
      </c>
      <c r="O108" s="200">
        <f>O109+O110+O111</f>
        <v>0</v>
      </c>
      <c r="P108" s="214" t="s">
        <v>162</v>
      </c>
      <c r="Q108" s="230"/>
      <c r="R108" s="255"/>
    </row>
    <row r="109" spans="1:18" s="220" customFormat="1" ht="23.25" x14ac:dyDescent="0.25">
      <c r="A109" s="201"/>
      <c r="B109" s="193" t="s">
        <v>4</v>
      </c>
      <c r="C109" s="193"/>
      <c r="D109" s="193"/>
      <c r="E109" s="193"/>
      <c r="F109" s="202"/>
      <c r="G109" s="202">
        <v>944.84</v>
      </c>
      <c r="H109" s="202">
        <v>944.84</v>
      </c>
      <c r="I109" s="192">
        <f t="shared" si="46"/>
        <v>1</v>
      </c>
      <c r="J109" s="202"/>
      <c r="K109" s="192">
        <f t="shared" si="36"/>
        <v>0</v>
      </c>
      <c r="L109" s="235">
        <v>944.84</v>
      </c>
      <c r="M109" s="202">
        <f>G109</f>
        <v>944.84</v>
      </c>
      <c r="N109" s="202">
        <f t="shared" si="38"/>
        <v>0</v>
      </c>
      <c r="O109" s="192">
        <f>G109-L109</f>
        <v>0</v>
      </c>
      <c r="P109" s="232"/>
      <c r="Q109" s="232"/>
      <c r="R109"/>
    </row>
    <row r="110" spans="1:18" s="220" customFormat="1" ht="23.25" x14ac:dyDescent="0.25">
      <c r="A110" s="201"/>
      <c r="B110" s="193" t="s">
        <v>130</v>
      </c>
      <c r="C110" s="193"/>
      <c r="D110" s="193"/>
      <c r="E110" s="193"/>
      <c r="F110" s="202">
        <v>8233.1200000000008</v>
      </c>
      <c r="G110" s="202">
        <v>6198.02</v>
      </c>
      <c r="H110" s="202">
        <v>6198.02</v>
      </c>
      <c r="I110" s="192">
        <f t="shared" si="46"/>
        <v>1</v>
      </c>
      <c r="J110" s="202"/>
      <c r="K110" s="192">
        <f t="shared" si="36"/>
        <v>0</v>
      </c>
      <c r="L110" s="235">
        <v>6198.02</v>
      </c>
      <c r="M110" s="202">
        <f>G110</f>
        <v>6198.02</v>
      </c>
      <c r="N110" s="202">
        <f t="shared" si="38"/>
        <v>0</v>
      </c>
      <c r="O110" s="192">
        <f>G110-L110</f>
        <v>0</v>
      </c>
      <c r="P110" s="232"/>
      <c r="Q110" s="232"/>
      <c r="R110"/>
    </row>
    <row r="111" spans="1:18" s="220" customFormat="1" ht="23.25" x14ac:dyDescent="0.25">
      <c r="A111" s="201"/>
      <c r="B111" s="189" t="s">
        <v>133</v>
      </c>
      <c r="C111" s="189"/>
      <c r="D111" s="189"/>
      <c r="E111" s="189"/>
      <c r="F111" s="190">
        <v>453.5</v>
      </c>
      <c r="G111" s="190">
        <v>453.5</v>
      </c>
      <c r="H111" s="190"/>
      <c r="I111" s="191">
        <f t="shared" si="46"/>
        <v>0</v>
      </c>
      <c r="J111" s="190"/>
      <c r="K111" s="191">
        <f t="shared" si="36"/>
        <v>0</v>
      </c>
      <c r="L111" s="235">
        <v>453.5</v>
      </c>
      <c r="M111" s="202">
        <f>G111</f>
        <v>453.5</v>
      </c>
      <c r="N111" s="202">
        <f t="shared" si="38"/>
        <v>0</v>
      </c>
      <c r="O111" s="192">
        <f>G111-L111</f>
        <v>0</v>
      </c>
      <c r="P111" s="232"/>
      <c r="Q111" s="232"/>
      <c r="R111"/>
    </row>
    <row r="112" spans="1:18" s="220" customFormat="1" ht="23.25" x14ac:dyDescent="0.25">
      <c r="A112" s="201"/>
      <c r="B112" s="189" t="s">
        <v>13</v>
      </c>
      <c r="C112" s="189"/>
      <c r="D112" s="189"/>
      <c r="E112" s="189"/>
      <c r="F112" s="190"/>
      <c r="G112" s="204"/>
      <c r="H112" s="190"/>
      <c r="I112" s="192"/>
      <c r="J112" s="190"/>
      <c r="K112" s="192"/>
      <c r="L112" s="192"/>
      <c r="M112" s="190"/>
      <c r="N112" s="202">
        <f t="shared" si="38"/>
        <v>0</v>
      </c>
      <c r="O112" s="192"/>
      <c r="P112" s="232"/>
      <c r="Q112" s="232"/>
      <c r="R112"/>
    </row>
    <row r="113" spans="1:18" s="220" customFormat="1" ht="23.25" collapsed="1" x14ac:dyDescent="0.25">
      <c r="A113" s="205"/>
      <c r="B113" s="189" t="s">
        <v>5</v>
      </c>
      <c r="C113" s="189"/>
      <c r="D113" s="189"/>
      <c r="E113" s="189"/>
      <c r="F113" s="190"/>
      <c r="G113" s="204"/>
      <c r="H113" s="190"/>
      <c r="I113" s="191"/>
      <c r="J113" s="190"/>
      <c r="K113" s="191"/>
      <c r="L113" s="191"/>
      <c r="M113" s="190"/>
      <c r="N113" s="202">
        <f t="shared" si="38"/>
        <v>0</v>
      </c>
      <c r="O113" s="191"/>
      <c r="P113" s="191"/>
      <c r="Q113" s="191"/>
      <c r="R113"/>
    </row>
    <row r="114" spans="1:18" s="215" customFormat="1" ht="243" customHeight="1" x14ac:dyDescent="0.25">
      <c r="A114" s="209" t="s">
        <v>153</v>
      </c>
      <c r="B114" s="210" t="s">
        <v>140</v>
      </c>
      <c r="C114" s="210"/>
      <c r="D114" s="210"/>
      <c r="E114" s="210"/>
      <c r="F114" s="211">
        <f t="shared" ref="F114:H114" si="54">SUM(F115:F119)</f>
        <v>1.7</v>
      </c>
      <c r="G114" s="211">
        <f t="shared" si="54"/>
        <v>1.7</v>
      </c>
      <c r="H114" s="211">
        <f t="shared" si="54"/>
        <v>1.7</v>
      </c>
      <c r="I114" s="212">
        <f t="shared" ref="I114:I138" si="55">H114/G114</f>
        <v>1</v>
      </c>
      <c r="J114" s="211">
        <f>SUM(J115:J119)</f>
        <v>0</v>
      </c>
      <c r="K114" s="213">
        <f t="shared" ref="K114:K138" si="56">J114/G114</f>
        <v>0</v>
      </c>
      <c r="L114" s="226">
        <f>L116</f>
        <v>1.7</v>
      </c>
      <c r="M114" s="211">
        <f>SUM(M115:M119)</f>
        <v>1.7</v>
      </c>
      <c r="N114" s="211">
        <f t="shared" si="38"/>
        <v>0</v>
      </c>
      <c r="O114" s="219">
        <f>G114-L114</f>
        <v>0</v>
      </c>
      <c r="P114" s="214" t="s">
        <v>163</v>
      </c>
      <c r="Q114" s="199">
        <f t="shared" ref="Q114:Q119" si="57">H114-J114</f>
        <v>1.7</v>
      </c>
      <c r="R114" s="255"/>
    </row>
    <row r="115" spans="1:18" s="220" customFormat="1" ht="23.25" x14ac:dyDescent="0.25">
      <c r="A115" s="216"/>
      <c r="B115" s="217" t="s">
        <v>4</v>
      </c>
      <c r="C115" s="217"/>
      <c r="D115" s="217"/>
      <c r="E115" s="217"/>
      <c r="F115" s="218"/>
      <c r="G115" s="218"/>
      <c r="H115" s="218"/>
      <c r="I115" s="219"/>
      <c r="J115" s="218"/>
      <c r="K115" s="219"/>
      <c r="L115" s="219"/>
      <c r="M115" s="218"/>
      <c r="N115" s="218"/>
      <c r="O115" s="219"/>
      <c r="P115" s="202">
        <f>G115-J115</f>
        <v>0</v>
      </c>
      <c r="Q115" s="202">
        <f t="shared" si="57"/>
        <v>0</v>
      </c>
      <c r="R115"/>
    </row>
    <row r="116" spans="1:18" s="220" customFormat="1" ht="23.25" x14ac:dyDescent="0.25">
      <c r="A116" s="216"/>
      <c r="B116" s="217" t="s">
        <v>130</v>
      </c>
      <c r="C116" s="217"/>
      <c r="D116" s="217"/>
      <c r="E116" s="217"/>
      <c r="F116" s="218">
        <v>1.7</v>
      </c>
      <c r="G116" s="218">
        <v>1.7</v>
      </c>
      <c r="H116" s="218">
        <v>1.7</v>
      </c>
      <c r="I116" s="219">
        <f t="shared" si="55"/>
        <v>1</v>
      </c>
      <c r="J116" s="218"/>
      <c r="K116" s="221">
        <f t="shared" si="56"/>
        <v>0</v>
      </c>
      <c r="L116" s="226">
        <v>1.7</v>
      </c>
      <c r="M116" s="218">
        <f>G116</f>
        <v>1.7</v>
      </c>
      <c r="N116" s="218">
        <f t="shared" si="38"/>
        <v>0</v>
      </c>
      <c r="O116" s="219">
        <f>G116-L116</f>
        <v>0</v>
      </c>
      <c r="P116" s="202"/>
      <c r="Q116" s="202">
        <f t="shared" si="57"/>
        <v>1.7</v>
      </c>
      <c r="R116"/>
    </row>
    <row r="117" spans="1:18" s="220" customFormat="1" ht="23.25" x14ac:dyDescent="0.25">
      <c r="A117" s="216"/>
      <c r="B117" s="217" t="s">
        <v>133</v>
      </c>
      <c r="C117" s="217"/>
      <c r="D117" s="217"/>
      <c r="E117" s="217"/>
      <c r="F117" s="218"/>
      <c r="G117" s="218"/>
      <c r="H117" s="218"/>
      <c r="I117" s="219"/>
      <c r="J117" s="218"/>
      <c r="K117" s="219"/>
      <c r="L117" s="219"/>
      <c r="M117" s="218"/>
      <c r="N117" s="218"/>
      <c r="O117" s="219"/>
      <c r="P117" s="202">
        <f>G117-J117</f>
        <v>0</v>
      </c>
      <c r="Q117" s="202">
        <f t="shared" si="57"/>
        <v>0</v>
      </c>
      <c r="R117"/>
    </row>
    <row r="118" spans="1:18" s="220" customFormat="1" ht="23.25" x14ac:dyDescent="0.25">
      <c r="A118" s="216"/>
      <c r="B118" s="222" t="s">
        <v>13</v>
      </c>
      <c r="C118" s="222"/>
      <c r="D118" s="222"/>
      <c r="E118" s="222"/>
      <c r="F118" s="223"/>
      <c r="G118" s="223"/>
      <c r="H118" s="223"/>
      <c r="I118" s="219"/>
      <c r="J118" s="223"/>
      <c r="K118" s="219"/>
      <c r="L118" s="219"/>
      <c r="M118" s="223"/>
      <c r="N118" s="218"/>
      <c r="O118" s="219"/>
      <c r="P118" s="190">
        <f>G118-J118</f>
        <v>0</v>
      </c>
      <c r="Q118" s="190">
        <f t="shared" si="57"/>
        <v>0</v>
      </c>
      <c r="R118"/>
    </row>
    <row r="119" spans="1:18" s="220" customFormat="1" ht="23.25" collapsed="1" x14ac:dyDescent="0.25">
      <c r="A119" s="224"/>
      <c r="B119" s="217" t="s">
        <v>5</v>
      </c>
      <c r="C119" s="217"/>
      <c r="D119" s="217"/>
      <c r="E119" s="217"/>
      <c r="F119" s="218"/>
      <c r="G119" s="218"/>
      <c r="H119" s="218"/>
      <c r="I119" s="219"/>
      <c r="J119" s="218"/>
      <c r="K119" s="219"/>
      <c r="L119" s="219"/>
      <c r="M119" s="218"/>
      <c r="N119" s="218"/>
      <c r="O119" s="219"/>
      <c r="P119" s="202">
        <f>G119-J119</f>
        <v>0</v>
      </c>
      <c r="Q119" s="203">
        <f t="shared" si="57"/>
        <v>0</v>
      </c>
      <c r="R119"/>
    </row>
    <row r="120" spans="1:18" s="231" customFormat="1" ht="131.25" customHeight="1" outlineLevel="1" x14ac:dyDescent="0.25">
      <c r="A120" s="209" t="s">
        <v>154</v>
      </c>
      <c r="B120" s="210" t="s">
        <v>141</v>
      </c>
      <c r="C120" s="210"/>
      <c r="D120" s="210"/>
      <c r="E120" s="210"/>
      <c r="F120" s="211">
        <f t="shared" ref="F120:H120" si="58">SUM(F121:F125)</f>
        <v>7417.8</v>
      </c>
      <c r="G120" s="211">
        <f t="shared" si="58"/>
        <v>9116.06</v>
      </c>
      <c r="H120" s="211">
        <f t="shared" si="58"/>
        <v>9116.06</v>
      </c>
      <c r="I120" s="212">
        <f t="shared" si="55"/>
        <v>1</v>
      </c>
      <c r="J120" s="211">
        <f>SUM(J121:J125)</f>
        <v>0</v>
      </c>
      <c r="K120" s="212">
        <f t="shared" si="56"/>
        <v>0</v>
      </c>
      <c r="L120" s="247">
        <f>L121</f>
        <v>9116.06</v>
      </c>
      <c r="M120" s="211">
        <f>SUM(M121:M125)</f>
        <v>9116.06</v>
      </c>
      <c r="N120" s="211">
        <f t="shared" si="38"/>
        <v>0</v>
      </c>
      <c r="O120" s="212">
        <f>O121</f>
        <v>0</v>
      </c>
      <c r="P120" s="214" t="s">
        <v>160</v>
      </c>
      <c r="Q120" s="230"/>
      <c r="R120" s="252"/>
    </row>
    <row r="121" spans="1:18" s="220" customFormat="1" ht="23.25" outlineLevel="1" x14ac:dyDescent="0.25">
      <c r="A121" s="216"/>
      <c r="B121" s="217" t="s">
        <v>4</v>
      </c>
      <c r="C121" s="217"/>
      <c r="D121" s="217"/>
      <c r="E121" s="217"/>
      <c r="F121" s="218">
        <v>7417.8</v>
      </c>
      <c r="G121" s="218">
        <v>9116.06</v>
      </c>
      <c r="H121" s="218">
        <v>9116.06</v>
      </c>
      <c r="I121" s="219">
        <f t="shared" si="55"/>
        <v>1</v>
      </c>
      <c r="J121" s="218">
        <v>0</v>
      </c>
      <c r="K121" s="219">
        <f t="shared" si="56"/>
        <v>0</v>
      </c>
      <c r="L121" s="225">
        <v>9116.06</v>
      </c>
      <c r="M121" s="218">
        <f>G121</f>
        <v>9116.06</v>
      </c>
      <c r="N121" s="218">
        <f t="shared" si="38"/>
        <v>0</v>
      </c>
      <c r="O121" s="219">
        <f>G121-L121</f>
        <v>0</v>
      </c>
      <c r="P121" s="232"/>
      <c r="Q121" s="232"/>
      <c r="R121"/>
    </row>
    <row r="122" spans="1:18" s="220" customFormat="1" ht="23.25" outlineLevel="1" x14ac:dyDescent="0.25">
      <c r="A122" s="216"/>
      <c r="B122" s="217" t="s">
        <v>130</v>
      </c>
      <c r="C122" s="217"/>
      <c r="D122" s="217"/>
      <c r="E122" s="217"/>
      <c r="F122" s="218"/>
      <c r="G122" s="218"/>
      <c r="H122" s="218"/>
      <c r="I122" s="219"/>
      <c r="J122" s="218"/>
      <c r="K122" s="219"/>
      <c r="L122" s="219"/>
      <c r="M122" s="218"/>
      <c r="N122" s="218"/>
      <c r="O122" s="219"/>
      <c r="P122" s="232"/>
      <c r="Q122" s="232"/>
      <c r="R122"/>
    </row>
    <row r="123" spans="1:18" s="220" customFormat="1" ht="23.25" outlineLevel="1" x14ac:dyDescent="0.25">
      <c r="A123" s="216"/>
      <c r="B123" s="217" t="s">
        <v>133</v>
      </c>
      <c r="C123" s="217"/>
      <c r="D123" s="217"/>
      <c r="E123" s="217"/>
      <c r="F123" s="218"/>
      <c r="G123" s="218"/>
      <c r="H123" s="218"/>
      <c r="I123" s="219"/>
      <c r="J123" s="218"/>
      <c r="K123" s="219"/>
      <c r="L123" s="219"/>
      <c r="M123" s="218"/>
      <c r="N123" s="218"/>
      <c r="O123" s="219"/>
      <c r="P123" s="232"/>
      <c r="Q123" s="232"/>
      <c r="R123"/>
    </row>
    <row r="124" spans="1:18" s="220" customFormat="1" ht="23.25" outlineLevel="1" x14ac:dyDescent="0.25">
      <c r="A124" s="216"/>
      <c r="B124" s="222" t="s">
        <v>13</v>
      </c>
      <c r="C124" s="222"/>
      <c r="D124" s="222"/>
      <c r="E124" s="222"/>
      <c r="F124" s="223"/>
      <c r="G124" s="233"/>
      <c r="H124" s="223"/>
      <c r="I124" s="219"/>
      <c r="J124" s="223"/>
      <c r="K124" s="219"/>
      <c r="L124" s="219"/>
      <c r="M124" s="223"/>
      <c r="N124" s="218"/>
      <c r="O124" s="219"/>
      <c r="P124" s="232"/>
      <c r="Q124" s="232"/>
      <c r="R124"/>
    </row>
    <row r="125" spans="1:18" s="220" customFormat="1" ht="23.25" outlineLevel="1" collapsed="1" x14ac:dyDescent="0.25">
      <c r="A125" s="224"/>
      <c r="B125" s="217" t="s">
        <v>5</v>
      </c>
      <c r="C125" s="217"/>
      <c r="D125" s="217"/>
      <c r="E125" s="217"/>
      <c r="F125" s="218"/>
      <c r="G125" s="234"/>
      <c r="H125" s="218"/>
      <c r="I125" s="219"/>
      <c r="J125" s="218"/>
      <c r="K125" s="219"/>
      <c r="L125" s="219"/>
      <c r="M125" s="218"/>
      <c r="N125" s="218"/>
      <c r="O125" s="219"/>
      <c r="P125" s="191"/>
      <c r="Q125" s="191"/>
      <c r="R125"/>
    </row>
    <row r="126" spans="1:18" s="170" customFormat="1" ht="227.25" customHeight="1" x14ac:dyDescent="0.25">
      <c r="A126" s="197" t="s">
        <v>155</v>
      </c>
      <c r="B126" s="198" t="s">
        <v>142</v>
      </c>
      <c r="C126" s="198"/>
      <c r="D126" s="198"/>
      <c r="E126" s="198"/>
      <c r="F126" s="199">
        <f t="shared" ref="F126:H126" si="59">SUM(F127:F131)</f>
        <v>5810.6</v>
      </c>
      <c r="G126" s="199">
        <f t="shared" si="59"/>
        <v>5950.76</v>
      </c>
      <c r="H126" s="199">
        <f t="shared" si="59"/>
        <v>5950.76</v>
      </c>
      <c r="I126" s="200">
        <f t="shared" si="55"/>
        <v>1</v>
      </c>
      <c r="J126" s="199">
        <f>SUM(J127:J131)</f>
        <v>5794.61</v>
      </c>
      <c r="K126" s="200">
        <f t="shared" si="56"/>
        <v>0.97</v>
      </c>
      <c r="L126" s="200"/>
      <c r="M126" s="199">
        <f>SUM(M127:M131)</f>
        <v>5950.76</v>
      </c>
      <c r="N126" s="199">
        <f t="shared" si="38"/>
        <v>0</v>
      </c>
      <c r="O126" s="200">
        <f t="shared" ref="O126:O133" si="60">M126/G126</f>
        <v>1</v>
      </c>
      <c r="P126" s="271" t="s">
        <v>178</v>
      </c>
      <c r="Q126" s="167"/>
      <c r="R126" s="253"/>
    </row>
    <row r="127" spans="1:18" s="158" customFormat="1" ht="36.75" customHeight="1" x14ac:dyDescent="0.25">
      <c r="A127" s="201"/>
      <c r="B127" s="193" t="s">
        <v>4</v>
      </c>
      <c r="C127" s="193"/>
      <c r="D127" s="193"/>
      <c r="E127" s="193"/>
      <c r="F127" s="202">
        <v>4450.6000000000004</v>
      </c>
      <c r="G127" s="202">
        <v>4558.03</v>
      </c>
      <c r="H127" s="202">
        <f>G127</f>
        <v>4558.03</v>
      </c>
      <c r="I127" s="192">
        <f t="shared" si="55"/>
        <v>1</v>
      </c>
      <c r="J127" s="202">
        <v>4558.03</v>
      </c>
      <c r="K127" s="192">
        <f t="shared" si="56"/>
        <v>1</v>
      </c>
      <c r="L127" s="192"/>
      <c r="M127" s="202">
        <f>G127</f>
        <v>4558.03</v>
      </c>
      <c r="N127" s="202">
        <f t="shared" si="38"/>
        <v>0</v>
      </c>
      <c r="O127" s="192">
        <f t="shared" si="60"/>
        <v>1</v>
      </c>
      <c r="P127"/>
      <c r="Q127" s="169"/>
      <c r="R127"/>
    </row>
    <row r="128" spans="1:18" s="158" customFormat="1" ht="36.75" customHeight="1" x14ac:dyDescent="0.25">
      <c r="A128" s="201"/>
      <c r="B128" s="193" t="s">
        <v>130</v>
      </c>
      <c r="C128" s="193"/>
      <c r="D128" s="193"/>
      <c r="E128" s="193"/>
      <c r="F128" s="202">
        <v>1360</v>
      </c>
      <c r="G128" s="202">
        <v>1392.73</v>
      </c>
      <c r="H128" s="202">
        <f>G128</f>
        <v>1392.73</v>
      </c>
      <c r="I128" s="192">
        <f t="shared" si="55"/>
        <v>1</v>
      </c>
      <c r="J128" s="202">
        <v>1236.58</v>
      </c>
      <c r="K128" s="192">
        <f t="shared" si="56"/>
        <v>0.89</v>
      </c>
      <c r="L128" s="192"/>
      <c r="M128" s="202">
        <f>G128</f>
        <v>1392.73</v>
      </c>
      <c r="N128" s="202">
        <f t="shared" si="38"/>
        <v>0</v>
      </c>
      <c r="O128" s="192">
        <f t="shared" si="60"/>
        <v>1</v>
      </c>
      <c r="P128"/>
      <c r="Q128" s="169"/>
      <c r="R128"/>
    </row>
    <row r="129" spans="1:18" s="158" customFormat="1" ht="36.75" customHeight="1" x14ac:dyDescent="0.25">
      <c r="A129" s="201"/>
      <c r="B129" s="193" t="s">
        <v>133</v>
      </c>
      <c r="C129" s="193"/>
      <c r="D129" s="193"/>
      <c r="E129" s="193"/>
      <c r="F129" s="202"/>
      <c r="G129" s="202"/>
      <c r="H129" s="202"/>
      <c r="I129" s="192"/>
      <c r="J129" s="202"/>
      <c r="K129" s="192"/>
      <c r="L129" s="192"/>
      <c r="M129" s="202"/>
      <c r="N129" s="202"/>
      <c r="O129" s="192"/>
      <c r="P129"/>
      <c r="Q129" s="169"/>
      <c r="R129"/>
    </row>
    <row r="130" spans="1:18" s="158" customFormat="1" ht="36.75" customHeight="1" x14ac:dyDescent="0.25">
      <c r="A130" s="201"/>
      <c r="B130" s="189" t="s">
        <v>13</v>
      </c>
      <c r="C130" s="189"/>
      <c r="D130" s="189"/>
      <c r="E130" s="189"/>
      <c r="F130" s="190"/>
      <c r="G130" s="204"/>
      <c r="H130" s="190"/>
      <c r="I130" s="192"/>
      <c r="J130" s="190"/>
      <c r="K130" s="192"/>
      <c r="L130" s="192"/>
      <c r="M130" s="190"/>
      <c r="N130" s="190"/>
      <c r="O130" s="192"/>
      <c r="P130"/>
      <c r="Q130" s="169"/>
      <c r="R130"/>
    </row>
    <row r="131" spans="1:18" s="158" customFormat="1" ht="36.75" customHeight="1" x14ac:dyDescent="0.25">
      <c r="A131" s="205"/>
      <c r="B131" s="193" t="s">
        <v>5</v>
      </c>
      <c r="C131" s="193"/>
      <c r="D131" s="193"/>
      <c r="E131" s="193"/>
      <c r="F131" s="202"/>
      <c r="G131" s="203"/>
      <c r="H131" s="202"/>
      <c r="I131" s="192"/>
      <c r="J131" s="202"/>
      <c r="K131" s="192"/>
      <c r="L131" s="192"/>
      <c r="M131" s="202"/>
      <c r="N131" s="202"/>
      <c r="O131" s="192"/>
      <c r="P131"/>
      <c r="Q131" s="165"/>
      <c r="R131"/>
    </row>
    <row r="132" spans="1:18" s="170" customFormat="1" ht="46.5" x14ac:dyDescent="0.25">
      <c r="A132" s="197" t="s">
        <v>156</v>
      </c>
      <c r="B132" s="198" t="s">
        <v>143</v>
      </c>
      <c r="C132" s="198"/>
      <c r="D132" s="198"/>
      <c r="E132" s="198"/>
      <c r="F132" s="199">
        <f t="shared" ref="F132:H132" si="61">SUM(F133:F137)</f>
        <v>2438.1</v>
      </c>
      <c r="G132" s="199">
        <f t="shared" si="61"/>
        <v>2438.1</v>
      </c>
      <c r="H132" s="199">
        <f t="shared" si="61"/>
        <v>0</v>
      </c>
      <c r="I132" s="200">
        <f t="shared" si="55"/>
        <v>0</v>
      </c>
      <c r="J132" s="199">
        <f>SUM(J133:J137)</f>
        <v>0</v>
      </c>
      <c r="K132" s="200">
        <f t="shared" si="56"/>
        <v>0</v>
      </c>
      <c r="L132" s="200"/>
      <c r="M132" s="199">
        <f>SUM(M133:M137)</f>
        <v>2438.1</v>
      </c>
      <c r="N132" s="199">
        <f t="shared" si="38"/>
        <v>0</v>
      </c>
      <c r="O132" s="200">
        <f t="shared" si="60"/>
        <v>1</v>
      </c>
      <c r="P132" s="167"/>
      <c r="Q132" s="167"/>
      <c r="R132" s="253"/>
    </row>
    <row r="133" spans="1:18" s="158" customFormat="1" ht="23.25" x14ac:dyDescent="0.25">
      <c r="A133" s="172"/>
      <c r="B133" s="193" t="s">
        <v>144</v>
      </c>
      <c r="C133" s="193"/>
      <c r="D133" s="193"/>
      <c r="E133" s="193"/>
      <c r="F133" s="202">
        <v>2438.1</v>
      </c>
      <c r="G133" s="202">
        <v>2438.1</v>
      </c>
      <c r="H133" s="202"/>
      <c r="I133" s="192">
        <f t="shared" si="55"/>
        <v>0</v>
      </c>
      <c r="J133" s="202"/>
      <c r="K133" s="192">
        <f t="shared" si="56"/>
        <v>0</v>
      </c>
      <c r="L133" s="192"/>
      <c r="M133" s="202">
        <f>G133</f>
        <v>2438.1</v>
      </c>
      <c r="N133" s="202">
        <f t="shared" si="38"/>
        <v>0</v>
      </c>
      <c r="O133" s="192">
        <f t="shared" si="60"/>
        <v>1</v>
      </c>
      <c r="P133" s="169"/>
      <c r="Q133" s="169"/>
      <c r="R133"/>
    </row>
    <row r="134" spans="1:18" s="158" customFormat="1" ht="23.25" x14ac:dyDescent="0.25">
      <c r="A134" s="172"/>
      <c r="B134" s="193" t="s">
        <v>130</v>
      </c>
      <c r="C134" s="193"/>
      <c r="D134" s="193"/>
      <c r="E134" s="193"/>
      <c r="F134" s="202"/>
      <c r="G134" s="202"/>
      <c r="H134" s="202"/>
      <c r="I134" s="192"/>
      <c r="J134" s="202"/>
      <c r="K134" s="192"/>
      <c r="L134" s="192"/>
      <c r="M134" s="202"/>
      <c r="N134" s="202"/>
      <c r="O134" s="192"/>
      <c r="P134" s="169"/>
      <c r="Q134" s="169"/>
      <c r="R134"/>
    </row>
    <row r="135" spans="1:18" s="158" customFormat="1" ht="23.25" x14ac:dyDescent="0.25">
      <c r="A135" s="172"/>
      <c r="B135" s="193" t="s">
        <v>133</v>
      </c>
      <c r="C135" s="193"/>
      <c r="D135" s="193"/>
      <c r="E135" s="193"/>
      <c r="F135" s="202"/>
      <c r="G135" s="202"/>
      <c r="H135" s="202"/>
      <c r="I135" s="192"/>
      <c r="J135" s="202"/>
      <c r="K135" s="192"/>
      <c r="L135" s="192"/>
      <c r="M135" s="202"/>
      <c r="N135" s="202"/>
      <c r="O135" s="192"/>
      <c r="P135" s="169"/>
      <c r="Q135" s="169"/>
      <c r="R135"/>
    </row>
    <row r="136" spans="1:18" s="158" customFormat="1" ht="23.25" x14ac:dyDescent="0.25">
      <c r="A136" s="172"/>
      <c r="B136" s="189" t="s">
        <v>13</v>
      </c>
      <c r="C136" s="189"/>
      <c r="D136" s="189"/>
      <c r="E136" s="189"/>
      <c r="F136" s="190"/>
      <c r="G136" s="204"/>
      <c r="H136" s="190"/>
      <c r="I136" s="192"/>
      <c r="J136" s="190"/>
      <c r="K136" s="192"/>
      <c r="L136" s="192"/>
      <c r="M136" s="190"/>
      <c r="N136" s="190"/>
      <c r="O136" s="192"/>
      <c r="P136" s="169"/>
      <c r="Q136" s="169"/>
      <c r="R136"/>
    </row>
    <row r="137" spans="1:18" s="158" customFormat="1" ht="23.25" x14ac:dyDescent="0.25">
      <c r="A137" s="173"/>
      <c r="B137" s="193" t="s">
        <v>5</v>
      </c>
      <c r="C137" s="193"/>
      <c r="D137" s="193"/>
      <c r="E137" s="193"/>
      <c r="F137" s="202"/>
      <c r="G137" s="203"/>
      <c r="H137" s="202"/>
      <c r="I137" s="192"/>
      <c r="J137" s="202"/>
      <c r="K137" s="192"/>
      <c r="L137" s="192"/>
      <c r="M137" s="202"/>
      <c r="N137" s="202"/>
      <c r="O137" s="192"/>
      <c r="P137" s="165"/>
      <c r="Q137" s="165"/>
      <c r="R137"/>
    </row>
    <row r="138" spans="1:18" s="114" customFormat="1" ht="204.75" customHeight="1" x14ac:dyDescent="0.25">
      <c r="A138" s="277" t="s">
        <v>24</v>
      </c>
      <c r="B138" s="69" t="s">
        <v>104</v>
      </c>
      <c r="C138" s="61">
        <f>SUM(C139:C143)</f>
        <v>0</v>
      </c>
      <c r="D138" s="61">
        <f>SUM(D139:D143)</f>
        <v>0</v>
      </c>
      <c r="E138" s="61">
        <f>SUM(E139:E143)</f>
        <v>0</v>
      </c>
      <c r="F138" s="61">
        <f>SUM(F139:F143)</f>
        <v>201563.82</v>
      </c>
      <c r="G138" s="61">
        <f>SUM(G139:G143)</f>
        <v>225215.99</v>
      </c>
      <c r="H138" s="61">
        <f t="shared" ref="H138:J138" si="62">SUM(H139:H143)</f>
        <v>58072.42</v>
      </c>
      <c r="I138" s="240">
        <f t="shared" si="55"/>
        <v>0.26</v>
      </c>
      <c r="J138" s="61">
        <f t="shared" si="62"/>
        <v>51270.62</v>
      </c>
      <c r="K138" s="239">
        <f t="shared" si="56"/>
        <v>0.23</v>
      </c>
      <c r="L138" s="237">
        <f>L139+L140+L141+L142+L143</f>
        <v>224098.72</v>
      </c>
      <c r="M138" s="238"/>
      <c r="N138" s="238"/>
      <c r="O138" s="237">
        <f>SUM(O139:O143)</f>
        <v>1117.27</v>
      </c>
      <c r="P138" s="275" t="s">
        <v>173</v>
      </c>
    </row>
    <row r="139" spans="1:18" s="111" customFormat="1" x14ac:dyDescent="0.25">
      <c r="A139"/>
      <c r="B139" s="103" t="s">
        <v>4</v>
      </c>
      <c r="C139" s="87"/>
      <c r="D139" s="87"/>
      <c r="E139" s="84"/>
      <c r="F139" s="87"/>
      <c r="G139" s="87"/>
      <c r="H139" s="87"/>
      <c r="I139" s="106"/>
      <c r="J139" s="87"/>
      <c r="K139" s="105"/>
      <c r="L139" s="181"/>
      <c r="M139" s="87"/>
      <c r="N139" s="87"/>
      <c r="O139" s="181">
        <f>G139-L139</f>
        <v>0</v>
      </c>
      <c r="P139"/>
    </row>
    <row r="140" spans="1:18" s="111" customFormat="1" x14ac:dyDescent="0.25">
      <c r="A140"/>
      <c r="B140" s="103" t="s">
        <v>16</v>
      </c>
      <c r="C140" s="87"/>
      <c r="D140" s="87"/>
      <c r="E140" s="84"/>
      <c r="F140" s="87">
        <v>58677.2</v>
      </c>
      <c r="G140" s="87">
        <v>82288.800000000003</v>
      </c>
      <c r="H140" s="87">
        <f>19263.22+6914.23</f>
        <v>26177.45</v>
      </c>
      <c r="I140" s="106">
        <f>H140/G140</f>
        <v>0.32</v>
      </c>
      <c r="J140" s="87">
        <f>19375.65</f>
        <v>19375.650000000001</v>
      </c>
      <c r="K140" s="105">
        <f>J140/G140</f>
        <v>0.24</v>
      </c>
      <c r="L140" s="236">
        <f>63025.5+19263.22</f>
        <v>82288.72</v>
      </c>
      <c r="M140" s="87"/>
      <c r="N140" s="87"/>
      <c r="O140" s="236">
        <f>G140-L140</f>
        <v>0.08</v>
      </c>
      <c r="P140"/>
    </row>
    <row r="141" spans="1:18" s="111" customFormat="1" x14ac:dyDescent="0.25">
      <c r="A141"/>
      <c r="B141" s="103" t="s">
        <v>11</v>
      </c>
      <c r="C141" s="87"/>
      <c r="D141" s="87"/>
      <c r="E141" s="84"/>
      <c r="F141" s="263">
        <f>1263.31+32407.38</f>
        <v>33670.69</v>
      </c>
      <c r="G141" s="263">
        <f>1263.31+32407.38</f>
        <v>33670.69</v>
      </c>
      <c r="H141" s="263">
        <f>J141</f>
        <v>12254.93</v>
      </c>
      <c r="I141" s="250">
        <f>H141/G141</f>
        <v>0.36</v>
      </c>
      <c r="J141" s="263">
        <v>12254.93</v>
      </c>
      <c r="K141" s="251">
        <f>J141/G141</f>
        <v>0.36</v>
      </c>
      <c r="L141" s="264">
        <v>33670.69</v>
      </c>
      <c r="M141" s="263"/>
      <c r="N141" s="263"/>
      <c r="O141" s="264">
        <f>G141-L141</f>
        <v>0</v>
      </c>
      <c r="P141"/>
    </row>
    <row r="142" spans="1:18" s="111" customFormat="1" x14ac:dyDescent="0.25">
      <c r="A142"/>
      <c r="B142" s="103" t="s">
        <v>13</v>
      </c>
      <c r="C142" s="87"/>
      <c r="D142" s="87"/>
      <c r="E142" s="87"/>
      <c r="F142" s="87"/>
      <c r="G142" s="87"/>
      <c r="H142" s="182"/>
      <c r="I142" s="106"/>
      <c r="J142" s="182"/>
      <c r="K142" s="105"/>
      <c r="L142" s="264"/>
      <c r="M142" s="87"/>
      <c r="N142" s="87"/>
      <c r="O142" s="264">
        <f>G142-L142</f>
        <v>0</v>
      </c>
      <c r="P142"/>
    </row>
    <row r="143" spans="1:18" s="111" customFormat="1" x14ac:dyDescent="0.25">
      <c r="A143"/>
      <c r="B143" s="103" t="s">
        <v>5</v>
      </c>
      <c r="C143" s="87"/>
      <c r="D143" s="87"/>
      <c r="E143" s="87"/>
      <c r="F143" s="87">
        <v>109215.93</v>
      </c>
      <c r="G143" s="87">
        <v>109256.5</v>
      </c>
      <c r="H143" s="87">
        <f>J143</f>
        <v>19640.04</v>
      </c>
      <c r="I143" s="106">
        <f t="shared" ref="I143:I148" si="63">H143/G143</f>
        <v>0.18</v>
      </c>
      <c r="J143" s="87">
        <v>19640.04</v>
      </c>
      <c r="K143" s="105">
        <f t="shared" ref="K143:K148" si="64">J143/G143</f>
        <v>0.18</v>
      </c>
      <c r="L143" s="264">
        <v>108139.31</v>
      </c>
      <c r="M143" s="87"/>
      <c r="N143" s="87"/>
      <c r="O143" s="264">
        <f>G143-L143</f>
        <v>1117.19</v>
      </c>
      <c r="P143"/>
    </row>
    <row r="144" spans="1:18" s="118" customFormat="1" ht="370.5" customHeight="1" x14ac:dyDescent="0.25">
      <c r="A144" s="119" t="s">
        <v>25</v>
      </c>
      <c r="B144" s="120" t="s">
        <v>105</v>
      </c>
      <c r="C144" s="121"/>
      <c r="D144" s="121"/>
      <c r="E144" s="121"/>
      <c r="F144" s="121">
        <f>F145+F146+F147+F148+F149</f>
        <v>54249.26</v>
      </c>
      <c r="G144" s="121">
        <f>G145+G146+G147+G148+G149</f>
        <v>55963.66</v>
      </c>
      <c r="H144" s="121">
        <f>H145+H146+H147+H148+H149</f>
        <v>35772.61</v>
      </c>
      <c r="I144" s="130">
        <f t="shared" si="63"/>
        <v>0.64</v>
      </c>
      <c r="J144" s="121">
        <f>J145+J146+J147+J148+J149</f>
        <v>31291.16</v>
      </c>
      <c r="K144" s="130">
        <f t="shared" si="64"/>
        <v>0.56000000000000005</v>
      </c>
      <c r="L144" s="121">
        <f>L145+L146+L147+L148+L149</f>
        <v>55963.66</v>
      </c>
      <c r="M144" s="121">
        <f>M145+M146+M147+M148+M149</f>
        <v>0</v>
      </c>
      <c r="N144" s="121">
        <f>N145+N146+N147+N148+N149</f>
        <v>0</v>
      </c>
      <c r="O144" s="121">
        <f>O146+O145+O147+O148+O149</f>
        <v>0</v>
      </c>
      <c r="P144" s="276" t="s">
        <v>172</v>
      </c>
    </row>
    <row r="145" spans="1:16" s="46" customFormat="1" ht="32.25" customHeight="1" x14ac:dyDescent="0.25">
      <c r="A145" s="124"/>
      <c r="B145" s="103" t="s">
        <v>4</v>
      </c>
      <c r="C145" s="121"/>
      <c r="D145" s="121"/>
      <c r="E145" s="121"/>
      <c r="F145" s="125">
        <v>19563.2</v>
      </c>
      <c r="G145" s="125">
        <v>19563.2</v>
      </c>
      <c r="H145" s="125">
        <v>10434.65</v>
      </c>
      <c r="I145" s="130">
        <f t="shared" si="63"/>
        <v>0.53</v>
      </c>
      <c r="J145" s="125">
        <v>10434.65</v>
      </c>
      <c r="K145" s="130">
        <f t="shared" si="64"/>
        <v>0.53</v>
      </c>
      <c r="L145" s="125">
        <v>19563.2</v>
      </c>
      <c r="M145" s="65"/>
      <c r="N145" s="65"/>
      <c r="O145" s="113">
        <f>G145-L145</f>
        <v>0</v>
      </c>
      <c r="P145"/>
    </row>
    <row r="146" spans="1:16" s="46" customFormat="1" ht="32.25" customHeight="1" x14ac:dyDescent="0.25">
      <c r="A146" s="128"/>
      <c r="B146" s="103" t="s">
        <v>16</v>
      </c>
      <c r="C146" s="129"/>
      <c r="D146" s="129"/>
      <c r="E146" s="129"/>
      <c r="F146" s="125">
        <v>19326.8</v>
      </c>
      <c r="G146" s="125">
        <v>21041.200000000001</v>
      </c>
      <c r="H146" s="125">
        <v>14368.45</v>
      </c>
      <c r="I146" s="130">
        <f t="shared" si="63"/>
        <v>0.68</v>
      </c>
      <c r="J146" s="125">
        <v>9887</v>
      </c>
      <c r="K146" s="130">
        <f t="shared" si="64"/>
        <v>0.47</v>
      </c>
      <c r="L146" s="125">
        <f>15988.4+1100+3952.8</f>
        <v>21041.200000000001</v>
      </c>
      <c r="M146" s="65"/>
      <c r="N146" s="65"/>
      <c r="O146" s="113">
        <f>G146-L146</f>
        <v>0</v>
      </c>
      <c r="P146"/>
    </row>
    <row r="147" spans="1:16" s="46" customFormat="1" ht="32.25" customHeight="1" x14ac:dyDescent="0.25">
      <c r="A147" s="128"/>
      <c r="B147" s="103" t="s">
        <v>11</v>
      </c>
      <c r="C147" s="121"/>
      <c r="D147" s="121"/>
      <c r="E147" s="121"/>
      <c r="F147" s="125">
        <v>948.6</v>
      </c>
      <c r="G147" s="125">
        <v>1102.2</v>
      </c>
      <c r="H147" s="125">
        <v>616.29999999999995</v>
      </c>
      <c r="I147" s="130">
        <f t="shared" si="63"/>
        <v>0.56000000000000005</v>
      </c>
      <c r="J147" s="125">
        <v>616.29999999999995</v>
      </c>
      <c r="K147" s="130">
        <f t="shared" si="64"/>
        <v>0.56000000000000005</v>
      </c>
      <c r="L147" s="125">
        <v>1102.2</v>
      </c>
      <c r="M147" s="65"/>
      <c r="N147" s="65"/>
      <c r="O147" s="113">
        <f>G147-L147</f>
        <v>0</v>
      </c>
      <c r="P147"/>
    </row>
    <row r="148" spans="1:16" s="46" customFormat="1" ht="32.25" customHeight="1" x14ac:dyDescent="0.25">
      <c r="A148" s="128"/>
      <c r="B148" s="103" t="s">
        <v>13</v>
      </c>
      <c r="C148" s="121"/>
      <c r="D148" s="121"/>
      <c r="E148" s="121"/>
      <c r="F148" s="125">
        <v>14410.66</v>
      </c>
      <c r="G148" s="125">
        <v>14257.06</v>
      </c>
      <c r="H148" s="125">
        <v>10353.209999999999</v>
      </c>
      <c r="I148" s="126">
        <f t="shared" si="63"/>
        <v>0.73</v>
      </c>
      <c r="J148" s="125">
        <v>10353.209999999999</v>
      </c>
      <c r="K148" s="127">
        <f t="shared" si="64"/>
        <v>0.73</v>
      </c>
      <c r="L148" s="125">
        <v>14257.06</v>
      </c>
      <c r="M148" s="65"/>
      <c r="N148" s="65"/>
      <c r="O148" s="113">
        <f>G148-L148</f>
        <v>0</v>
      </c>
      <c r="P148"/>
    </row>
    <row r="149" spans="1:16" s="46" customFormat="1" ht="113.25" customHeight="1" x14ac:dyDescent="0.25">
      <c r="A149" s="128"/>
      <c r="B149" s="103" t="s">
        <v>5</v>
      </c>
      <c r="C149" s="125"/>
      <c r="D149" s="125"/>
      <c r="E149" s="125"/>
      <c r="F149" s="125"/>
      <c r="G149" s="125"/>
      <c r="H149" s="125"/>
      <c r="I149" s="126"/>
      <c r="J149" s="125"/>
      <c r="K149" s="127"/>
      <c r="L149" s="125"/>
      <c r="M149" s="65"/>
      <c r="N149" s="65"/>
      <c r="O149" s="113"/>
      <c r="P149"/>
    </row>
    <row r="150" spans="1:16" s="114" customFormat="1" ht="195.75" customHeight="1" x14ac:dyDescent="0.25">
      <c r="A150" s="277" t="s">
        <v>26</v>
      </c>
      <c r="B150" s="98" t="s">
        <v>106</v>
      </c>
      <c r="C150" s="61"/>
      <c r="D150" s="61"/>
      <c r="E150" s="61"/>
      <c r="F150" s="107"/>
      <c r="G150" s="107"/>
      <c r="H150" s="107"/>
      <c r="I150" s="108"/>
      <c r="J150" s="107"/>
      <c r="K150" s="109"/>
      <c r="L150" s="109"/>
      <c r="M150" s="72"/>
      <c r="N150" s="72"/>
      <c r="O150" s="72"/>
      <c r="P150" s="272" t="s">
        <v>124</v>
      </c>
    </row>
    <row r="151" spans="1:16" s="114" customFormat="1" x14ac:dyDescent="0.25">
      <c r="A151" s="278"/>
      <c r="B151" s="103" t="s">
        <v>4</v>
      </c>
      <c r="C151" s="61"/>
      <c r="D151" s="61"/>
      <c r="E151" s="61"/>
      <c r="F151" s="107"/>
      <c r="G151" s="107"/>
      <c r="H151" s="107"/>
      <c r="I151" s="108"/>
      <c r="J151" s="107"/>
      <c r="K151" s="109"/>
      <c r="L151" s="109"/>
      <c r="M151" s="72"/>
      <c r="N151" s="72"/>
      <c r="O151" s="72"/>
      <c r="P151" s="272"/>
    </row>
    <row r="152" spans="1:16" s="114" customFormat="1" x14ac:dyDescent="0.25">
      <c r="A152" s="278"/>
      <c r="B152" s="103" t="s">
        <v>16</v>
      </c>
      <c r="C152" s="61"/>
      <c r="D152" s="61"/>
      <c r="E152" s="61"/>
      <c r="F152" s="107"/>
      <c r="G152" s="107"/>
      <c r="H152" s="107"/>
      <c r="I152" s="108"/>
      <c r="J152" s="107"/>
      <c r="K152" s="109"/>
      <c r="L152" s="109"/>
      <c r="M152" s="72"/>
      <c r="N152" s="72"/>
      <c r="O152" s="72"/>
      <c r="P152" s="272"/>
    </row>
    <row r="153" spans="1:16" s="114" customFormat="1" x14ac:dyDescent="0.25">
      <c r="A153" s="278"/>
      <c r="B153" s="103" t="s">
        <v>11</v>
      </c>
      <c r="C153" s="61"/>
      <c r="D153" s="61"/>
      <c r="E153" s="61"/>
      <c r="F153" s="107"/>
      <c r="G153" s="107"/>
      <c r="H153" s="107"/>
      <c r="I153" s="108"/>
      <c r="J153" s="107"/>
      <c r="K153" s="109"/>
      <c r="L153" s="109"/>
      <c r="M153" s="72"/>
      <c r="N153" s="72"/>
      <c r="O153" s="72"/>
      <c r="P153" s="272"/>
    </row>
    <row r="154" spans="1:16" s="114" customFormat="1" x14ac:dyDescent="0.25">
      <c r="A154" s="278"/>
      <c r="B154" s="103" t="s">
        <v>13</v>
      </c>
      <c r="C154" s="61"/>
      <c r="D154" s="61"/>
      <c r="E154" s="61"/>
      <c r="F154" s="107"/>
      <c r="G154" s="107"/>
      <c r="H154" s="107"/>
      <c r="I154" s="108"/>
      <c r="J154" s="107"/>
      <c r="K154" s="109"/>
      <c r="L154" s="109"/>
      <c r="M154" s="72"/>
      <c r="N154" s="72"/>
      <c r="O154" s="72"/>
      <c r="P154" s="272"/>
    </row>
    <row r="155" spans="1:16" s="114" customFormat="1" x14ac:dyDescent="0.25">
      <c r="A155" s="278"/>
      <c r="B155" s="103" t="s">
        <v>5</v>
      </c>
      <c r="C155" s="61"/>
      <c r="D155" s="61"/>
      <c r="E155" s="61"/>
      <c r="F155" s="107"/>
      <c r="G155" s="107"/>
      <c r="H155" s="107"/>
      <c r="I155" s="108"/>
      <c r="J155" s="107"/>
      <c r="K155" s="109"/>
      <c r="L155" s="109"/>
      <c r="M155" s="72"/>
      <c r="N155" s="72"/>
      <c r="O155" s="72"/>
      <c r="P155" s="272"/>
    </row>
    <row r="156" spans="1:16" s="131" customFormat="1" ht="153" x14ac:dyDescent="0.25">
      <c r="A156" s="277" t="s">
        <v>27</v>
      </c>
      <c r="B156" s="98" t="s">
        <v>107</v>
      </c>
      <c r="C156" s="61"/>
      <c r="D156" s="61"/>
      <c r="E156" s="61"/>
      <c r="F156" s="107"/>
      <c r="G156" s="107"/>
      <c r="H156" s="107"/>
      <c r="I156" s="108"/>
      <c r="J156" s="107"/>
      <c r="K156" s="109"/>
      <c r="L156" s="109"/>
      <c r="M156" s="72"/>
      <c r="N156" s="72"/>
      <c r="O156" s="72"/>
      <c r="P156" s="272" t="s">
        <v>124</v>
      </c>
    </row>
    <row r="157" spans="1:16" s="131" customFormat="1" x14ac:dyDescent="0.25">
      <c r="A157" s="278"/>
      <c r="B157" s="103" t="s">
        <v>4</v>
      </c>
      <c r="C157" s="61"/>
      <c r="D157" s="61"/>
      <c r="E157" s="61"/>
      <c r="F157" s="107"/>
      <c r="G157" s="107"/>
      <c r="H157" s="107"/>
      <c r="I157" s="108"/>
      <c r="J157" s="107"/>
      <c r="K157" s="109"/>
      <c r="L157" s="109"/>
      <c r="M157" s="72"/>
      <c r="N157" s="72"/>
      <c r="O157" s="72"/>
      <c r="P157" s="272"/>
    </row>
    <row r="158" spans="1:16" s="131" customFormat="1" x14ac:dyDescent="0.25">
      <c r="A158" s="278"/>
      <c r="B158" s="103" t="s">
        <v>16</v>
      </c>
      <c r="C158" s="61"/>
      <c r="D158" s="61"/>
      <c r="E158" s="61"/>
      <c r="F158" s="107"/>
      <c r="G158" s="107"/>
      <c r="H158" s="107"/>
      <c r="I158" s="108"/>
      <c r="J158" s="107"/>
      <c r="K158" s="109"/>
      <c r="L158" s="109"/>
      <c r="M158" s="72"/>
      <c r="N158" s="72"/>
      <c r="O158" s="72"/>
      <c r="P158" s="272"/>
    </row>
    <row r="159" spans="1:16" s="131" customFormat="1" x14ac:dyDescent="0.25">
      <c r="A159" s="278"/>
      <c r="B159" s="103" t="s">
        <v>11</v>
      </c>
      <c r="C159" s="61"/>
      <c r="D159" s="61"/>
      <c r="E159" s="61"/>
      <c r="F159" s="107"/>
      <c r="G159" s="107"/>
      <c r="H159" s="107"/>
      <c r="I159" s="108"/>
      <c r="J159" s="107"/>
      <c r="K159" s="109"/>
      <c r="L159" s="109"/>
      <c r="M159" s="72"/>
      <c r="N159" s="72"/>
      <c r="O159" s="72"/>
      <c r="P159" s="272"/>
    </row>
    <row r="160" spans="1:16" s="131" customFormat="1" x14ac:dyDescent="0.25">
      <c r="A160" s="278"/>
      <c r="B160" s="103" t="s">
        <v>13</v>
      </c>
      <c r="C160" s="61"/>
      <c r="D160" s="61"/>
      <c r="E160" s="61"/>
      <c r="F160" s="107"/>
      <c r="G160" s="107"/>
      <c r="H160" s="107"/>
      <c r="I160" s="108"/>
      <c r="J160" s="107"/>
      <c r="K160" s="109"/>
      <c r="L160" s="109"/>
      <c r="M160" s="72"/>
      <c r="N160" s="72"/>
      <c r="O160" s="72"/>
      <c r="P160" s="272"/>
    </row>
    <row r="161" spans="1:16" s="131" customFormat="1" x14ac:dyDescent="0.25">
      <c r="A161" s="279"/>
      <c r="B161" s="103" t="s">
        <v>5</v>
      </c>
      <c r="C161" s="61"/>
      <c r="D161" s="61"/>
      <c r="E161" s="61"/>
      <c r="F161" s="107"/>
      <c r="G161" s="107"/>
      <c r="H161" s="107"/>
      <c r="I161" s="108"/>
      <c r="J161" s="107"/>
      <c r="K161" s="109"/>
      <c r="L161" s="109"/>
      <c r="M161" s="72"/>
      <c r="N161" s="72"/>
      <c r="O161" s="72"/>
      <c r="P161" s="272"/>
    </row>
    <row r="162" spans="1:16" s="114" customFormat="1" ht="222.75" customHeight="1" x14ac:dyDescent="0.25">
      <c r="A162" s="277" t="s">
        <v>28</v>
      </c>
      <c r="B162" s="69" t="s">
        <v>108</v>
      </c>
      <c r="C162" s="61" t="e">
        <f>SUM(C163:C167)</f>
        <v>#REF!</v>
      </c>
      <c r="D162" s="61" t="e">
        <f>SUM(D163:D167)</f>
        <v>#REF!</v>
      </c>
      <c r="E162" s="61">
        <v>0</v>
      </c>
      <c r="F162" s="61">
        <f>F164+F163+F165+F166+F167</f>
        <v>142887.04999999999</v>
      </c>
      <c r="G162" s="61">
        <f t="shared" ref="G162:O162" si="65">G164+G163+G165+G166+G167</f>
        <v>142887.04999999999</v>
      </c>
      <c r="H162" s="61">
        <f t="shared" si="65"/>
        <v>124533.53</v>
      </c>
      <c r="I162" s="74">
        <f>H162/G162</f>
        <v>0.87</v>
      </c>
      <c r="J162" s="61">
        <f t="shared" si="65"/>
        <v>81264.62</v>
      </c>
      <c r="K162" s="74">
        <f t="shared" ref="K162:K165" si="66">J162/G162</f>
        <v>0.56999999999999995</v>
      </c>
      <c r="L162" s="61">
        <f t="shared" si="65"/>
        <v>142887.04999999999</v>
      </c>
      <c r="M162" s="61">
        <f t="shared" si="65"/>
        <v>0</v>
      </c>
      <c r="N162" s="61">
        <f t="shared" si="65"/>
        <v>0</v>
      </c>
      <c r="O162" s="61">
        <f t="shared" si="65"/>
        <v>0</v>
      </c>
      <c r="P162" s="272" t="s">
        <v>174</v>
      </c>
    </row>
    <row r="163" spans="1:16" s="111" customFormat="1" ht="126" customHeight="1" x14ac:dyDescent="0.25">
      <c r="A163" s="94"/>
      <c r="B163" s="103" t="s">
        <v>4</v>
      </c>
      <c r="C163" s="65"/>
      <c r="D163" s="65"/>
      <c r="E163" s="65"/>
      <c r="F163" s="89"/>
      <c r="G163" s="89"/>
      <c r="H163" s="89"/>
      <c r="I163" s="132"/>
      <c r="J163" s="89"/>
      <c r="K163" s="132"/>
      <c r="L163" s="89"/>
      <c r="M163" s="65"/>
      <c r="N163" s="65"/>
      <c r="O163" s="65"/>
      <c r="P163"/>
    </row>
    <row r="164" spans="1:16" s="111" customFormat="1" ht="126" customHeight="1" x14ac:dyDescent="0.25">
      <c r="A164" s="94"/>
      <c r="B164" s="103" t="s">
        <v>16</v>
      </c>
      <c r="C164" s="87"/>
      <c r="D164" s="87"/>
      <c r="E164" s="87"/>
      <c r="F164" s="125">
        <v>128460.67</v>
      </c>
      <c r="G164" s="125">
        <v>128460.67</v>
      </c>
      <c r="H164" s="125">
        <v>118582.29</v>
      </c>
      <c r="I164" s="74">
        <f>H164/G164</f>
        <v>0.92</v>
      </c>
      <c r="J164" s="125">
        <v>75313.38</v>
      </c>
      <c r="K164" s="74">
        <f t="shared" si="66"/>
        <v>0.59</v>
      </c>
      <c r="L164" s="125">
        <v>128460.67</v>
      </c>
      <c r="M164" s="65"/>
      <c r="N164" s="65"/>
      <c r="O164" s="147">
        <f>G164-L164</f>
        <v>0</v>
      </c>
      <c r="P164"/>
    </row>
    <row r="165" spans="1:16" s="111" customFormat="1" ht="126" customHeight="1" x14ac:dyDescent="0.25">
      <c r="A165" s="94"/>
      <c r="B165" s="103" t="s">
        <v>11</v>
      </c>
      <c r="C165" s="87" t="e">
        <f>#REF!</f>
        <v>#REF!</v>
      </c>
      <c r="D165" s="87" t="e">
        <f>#REF!</f>
        <v>#REF!</v>
      </c>
      <c r="E165" s="87" t="e">
        <f>#REF!</f>
        <v>#REF!</v>
      </c>
      <c r="F165" s="65">
        <v>10554.6</v>
      </c>
      <c r="G165" s="65">
        <v>10554.6</v>
      </c>
      <c r="H165" s="65">
        <v>3744.68</v>
      </c>
      <c r="I165" s="130">
        <f t="shared" ref="I165" si="67">H165/G165</f>
        <v>0.35</v>
      </c>
      <c r="J165" s="65">
        <v>3744.68</v>
      </c>
      <c r="K165" s="74">
        <f t="shared" si="66"/>
        <v>0.35</v>
      </c>
      <c r="L165" s="65">
        <v>10554.6</v>
      </c>
      <c r="M165" s="65"/>
      <c r="N165" s="65"/>
      <c r="O165" s="147">
        <f>G165-L165</f>
        <v>0</v>
      </c>
      <c r="P165"/>
    </row>
    <row r="166" spans="1:16" s="111" customFormat="1" ht="126" customHeight="1" x14ac:dyDescent="0.25">
      <c r="A166" s="94"/>
      <c r="B166" s="103" t="s">
        <v>13</v>
      </c>
      <c r="C166" s="65"/>
      <c r="D166" s="65"/>
      <c r="E166" s="65"/>
      <c r="F166" s="65">
        <v>3871.78</v>
      </c>
      <c r="G166" s="65">
        <v>3871.78</v>
      </c>
      <c r="H166" s="65">
        <v>2206.56</v>
      </c>
      <c r="I166" s="130">
        <f>H166/G166</f>
        <v>0.56999999999999995</v>
      </c>
      <c r="J166" s="65">
        <v>2206.56</v>
      </c>
      <c r="K166" s="74">
        <f>J166/G166</f>
        <v>0.56999999999999995</v>
      </c>
      <c r="L166" s="65">
        <v>3871.78</v>
      </c>
      <c r="M166" s="65"/>
      <c r="N166" s="65"/>
      <c r="O166" s="65">
        <f>G166-L166</f>
        <v>0</v>
      </c>
      <c r="P166"/>
    </row>
    <row r="167" spans="1:16" s="111" customFormat="1" ht="126" customHeight="1" x14ac:dyDescent="0.25">
      <c r="A167" s="112"/>
      <c r="B167" s="103" t="s">
        <v>5</v>
      </c>
      <c r="C167" s="65"/>
      <c r="D167" s="65"/>
      <c r="E167" s="65"/>
      <c r="F167" s="65"/>
      <c r="G167" s="65"/>
      <c r="H167" s="65"/>
      <c r="I167" s="106"/>
      <c r="J167" s="65"/>
      <c r="K167" s="106"/>
      <c r="L167" s="65"/>
      <c r="M167" s="65"/>
      <c r="N167" s="65"/>
      <c r="O167" s="65"/>
      <c r="P167"/>
    </row>
    <row r="168" spans="1:16" s="135" customFormat="1" ht="138.75" customHeight="1" x14ac:dyDescent="0.25">
      <c r="A168" s="277" t="s">
        <v>29</v>
      </c>
      <c r="B168" s="69" t="s">
        <v>109</v>
      </c>
      <c r="C168" s="61" t="e">
        <f>#REF!+#REF!+#REF!+#REF!+#REF!</f>
        <v>#REF!</v>
      </c>
      <c r="D168" s="61" t="e">
        <f>#REF!+#REF!+#REF!+#REF!+#REF!</f>
        <v>#REF!</v>
      </c>
      <c r="E168" s="61" t="e">
        <f>#REF!+#REF!+#REF!+#REF!+#REF!</f>
        <v>#REF!</v>
      </c>
      <c r="F168" s="107"/>
      <c r="G168" s="107"/>
      <c r="H168" s="115"/>
      <c r="I168" s="133"/>
      <c r="J168" s="134"/>
      <c r="K168" s="100"/>
      <c r="L168" s="100"/>
      <c r="M168" s="72"/>
      <c r="N168" s="72"/>
      <c r="O168" s="72"/>
      <c r="P168" s="271" t="s">
        <v>124</v>
      </c>
    </row>
    <row r="169" spans="1:16" s="82" customFormat="1" ht="139.5" customHeight="1" x14ac:dyDescent="0.4">
      <c r="A169" s="277" t="s">
        <v>30</v>
      </c>
      <c r="B169" s="69" t="s">
        <v>110</v>
      </c>
      <c r="C169" s="61" t="e">
        <f>SUM(C170:C174)</f>
        <v>#REF!</v>
      </c>
      <c r="D169" s="61" t="e">
        <f>SUM(D170:D174)</f>
        <v>#REF!</v>
      </c>
      <c r="E169" s="61" t="e">
        <f>SUM(E170:E174)</f>
        <v>#REF!</v>
      </c>
      <c r="F169" s="61">
        <f>SUM(F170:F174)</f>
        <v>540732.19999999995</v>
      </c>
      <c r="G169" s="61">
        <f t="shared" ref="G169:N169" si="68">SUM(G170:G174)</f>
        <v>617623.30000000005</v>
      </c>
      <c r="H169" s="61">
        <f t="shared" si="68"/>
        <v>20716.060000000001</v>
      </c>
      <c r="I169" s="174">
        <f>H169/G169</f>
        <v>0.03</v>
      </c>
      <c r="J169" s="61">
        <f t="shared" si="68"/>
        <v>20716.060000000001</v>
      </c>
      <c r="K169" s="174">
        <f>J169/G169</f>
        <v>0.03</v>
      </c>
      <c r="L169" s="61">
        <f t="shared" si="68"/>
        <v>617623.4</v>
      </c>
      <c r="M169" s="61">
        <f t="shared" si="68"/>
        <v>0</v>
      </c>
      <c r="N169" s="61">
        <f t="shared" si="68"/>
        <v>0</v>
      </c>
      <c r="O169" s="61">
        <f>G169-J169</f>
        <v>596907.24</v>
      </c>
      <c r="P169" s="280" t="s">
        <v>175</v>
      </c>
    </row>
    <row r="170" spans="1:16" s="82" customFormat="1" x14ac:dyDescent="0.4">
      <c r="A170" s="278"/>
      <c r="B170" s="103" t="s">
        <v>4</v>
      </c>
      <c r="C170" s="65" t="e">
        <f>#REF!</f>
        <v>#REF!</v>
      </c>
      <c r="D170" s="65" t="e">
        <f>#REF!</f>
        <v>#REF!</v>
      </c>
      <c r="E170" s="65" t="e">
        <f>#REF!</f>
        <v>#REF!</v>
      </c>
      <c r="F170" s="65"/>
      <c r="G170" s="65"/>
      <c r="H170" s="65"/>
      <c r="I170" s="74"/>
      <c r="J170" s="65"/>
      <c r="K170" s="74"/>
      <c r="L170" s="65"/>
      <c r="M170" s="74"/>
      <c r="N170" s="74"/>
      <c r="O170" s="61">
        <f t="shared" ref="O170" si="69">G170-J170</f>
        <v>0</v>
      </c>
      <c r="P170"/>
    </row>
    <row r="171" spans="1:16" s="82" customFormat="1" x14ac:dyDescent="0.4">
      <c r="A171" s="278"/>
      <c r="B171" s="103" t="s">
        <v>16</v>
      </c>
      <c r="C171" s="65"/>
      <c r="D171" s="65"/>
      <c r="E171" s="65"/>
      <c r="F171" s="208">
        <v>506592.5</v>
      </c>
      <c r="G171" s="208">
        <f>583483.6</f>
        <v>583483.6</v>
      </c>
      <c r="H171" s="65">
        <v>17055.37</v>
      </c>
      <c r="I171" s="74">
        <f>H171/G171</f>
        <v>0.03</v>
      </c>
      <c r="J171" s="65">
        <v>17055.37</v>
      </c>
      <c r="K171" s="74">
        <f>J171/G171</f>
        <v>0.03</v>
      </c>
      <c r="L171" s="65">
        <f>243392.5+340091.2</f>
        <v>583483.69999999995</v>
      </c>
      <c r="M171" s="74"/>
      <c r="N171" s="74"/>
      <c r="O171" s="147">
        <f>G171-L171</f>
        <v>-0.1</v>
      </c>
      <c r="P171"/>
    </row>
    <row r="172" spans="1:16" s="82" customFormat="1" x14ac:dyDescent="0.4">
      <c r="A172" s="278"/>
      <c r="B172" s="103" t="s">
        <v>11</v>
      </c>
      <c r="C172" s="65"/>
      <c r="D172" s="65"/>
      <c r="E172" s="65"/>
      <c r="F172" s="208">
        <f>13852.6+16237.42</f>
        <v>30090.02</v>
      </c>
      <c r="G172" s="208">
        <f>13852.6+16237.42</f>
        <v>30090.02</v>
      </c>
      <c r="H172" s="65">
        <f>J172</f>
        <v>3660.69</v>
      </c>
      <c r="I172" s="74">
        <f>H172/G172</f>
        <v>0.12</v>
      </c>
      <c r="J172" s="65">
        <v>3660.69</v>
      </c>
      <c r="K172" s="74">
        <f>J172/G172</f>
        <v>0.12</v>
      </c>
      <c r="L172" s="65">
        <f>16237.42+13852.6</f>
        <v>30090.02</v>
      </c>
      <c r="M172" s="74"/>
      <c r="N172" s="74"/>
      <c r="O172" s="147">
        <f t="shared" ref="O172:O173" si="70">G172-L172</f>
        <v>0</v>
      </c>
      <c r="P172"/>
    </row>
    <row r="173" spans="1:16" s="82" customFormat="1" x14ac:dyDescent="0.4">
      <c r="A173" s="278"/>
      <c r="B173" s="103" t="s">
        <v>13</v>
      </c>
      <c r="C173" s="65"/>
      <c r="D173" s="65"/>
      <c r="E173" s="65"/>
      <c r="F173" s="208">
        <v>4049.68</v>
      </c>
      <c r="G173" s="208">
        <f>F173</f>
        <v>4049.68</v>
      </c>
      <c r="H173" s="65"/>
      <c r="I173" s="74"/>
      <c r="J173" s="65"/>
      <c r="K173" s="74"/>
      <c r="L173" s="65">
        <v>4049.68</v>
      </c>
      <c r="M173" s="74"/>
      <c r="N173" s="74"/>
      <c r="O173" s="147">
        <f t="shared" si="70"/>
        <v>0</v>
      </c>
      <c r="P173"/>
    </row>
    <row r="174" spans="1:16" s="82" customFormat="1" x14ac:dyDescent="0.4">
      <c r="A174" s="278"/>
      <c r="B174" s="103" t="s">
        <v>5</v>
      </c>
      <c r="C174" s="65" t="e">
        <f>#REF!</f>
        <v>#REF!</v>
      </c>
      <c r="D174" s="65" t="e">
        <f>#REF!</f>
        <v>#REF!</v>
      </c>
      <c r="E174" s="65" t="e">
        <f>#REF!</f>
        <v>#REF!</v>
      </c>
      <c r="F174" s="65"/>
      <c r="G174" s="65"/>
      <c r="H174" s="65"/>
      <c r="I174" s="74"/>
      <c r="J174" s="65"/>
      <c r="K174" s="74"/>
      <c r="L174" s="65"/>
      <c r="M174" s="74"/>
      <c r="N174" s="74"/>
      <c r="O174" s="95"/>
      <c r="P174"/>
    </row>
    <row r="175" spans="1:16" s="137" customFormat="1" ht="127.5" x14ac:dyDescent="0.25">
      <c r="A175" s="175" t="s">
        <v>31</v>
      </c>
      <c r="B175" s="98" t="s">
        <v>111</v>
      </c>
      <c r="C175" s="61" t="e">
        <f>#REF!+#REF!+#REF!+#REF!+#REF!</f>
        <v>#REF!</v>
      </c>
      <c r="D175" s="61" t="e">
        <f>#REF!+#REF!+#REF!+#REF!+#REF!</f>
        <v>#REF!</v>
      </c>
      <c r="E175" s="61" t="e">
        <f>#REF!+#REF!+#REF!+#REF!+#REF!</f>
        <v>#REF!</v>
      </c>
      <c r="F175" s="107"/>
      <c r="G175" s="107"/>
      <c r="H175" s="115"/>
      <c r="I175" s="133"/>
      <c r="J175" s="134"/>
      <c r="K175" s="100"/>
      <c r="L175" s="100"/>
      <c r="M175" s="72"/>
      <c r="N175" s="72"/>
      <c r="O175" s="72"/>
      <c r="P175" s="136" t="s">
        <v>124</v>
      </c>
    </row>
    <row r="176" spans="1:16" s="135" customFormat="1" ht="243.75" customHeight="1" x14ac:dyDescent="0.25">
      <c r="A176" s="278" t="s">
        <v>47</v>
      </c>
      <c r="B176" s="69" t="s">
        <v>112</v>
      </c>
      <c r="C176" s="61" t="e">
        <f>C177+C181+#REF!+#REF!+#REF!</f>
        <v>#REF!</v>
      </c>
      <c r="D176" s="61" t="e">
        <f>D177+D181+#REF!+#REF!+#REF!</f>
        <v>#REF!</v>
      </c>
      <c r="E176" s="61" t="e">
        <f>E177+E181+#REF!+#REF!+#REF!</f>
        <v>#REF!</v>
      </c>
      <c r="F176" s="61">
        <f>F177+F178+F179</f>
        <v>58377.41</v>
      </c>
      <c r="G176" s="61">
        <f t="shared" ref="G176:H176" si="71">G177+G178+G179</f>
        <v>132213.9</v>
      </c>
      <c r="H176" s="61">
        <f t="shared" si="71"/>
        <v>29082.63</v>
      </c>
      <c r="I176" s="70"/>
      <c r="J176" s="61">
        <f>J177+J178+J179</f>
        <v>29082.63</v>
      </c>
      <c r="K176" s="71"/>
      <c r="L176" s="61">
        <f>L177+L178+L179</f>
        <v>108192.61</v>
      </c>
      <c r="M176" s="61">
        <f t="shared" ref="M176:O176" si="72">M177+M178+M179</f>
        <v>0</v>
      </c>
      <c r="N176" s="61">
        <f t="shared" si="72"/>
        <v>0</v>
      </c>
      <c r="O176" s="61">
        <f t="shared" si="72"/>
        <v>24021.29</v>
      </c>
      <c r="P176" s="271" t="s">
        <v>158</v>
      </c>
    </row>
    <row r="177" spans="1:16" s="46" customFormat="1" x14ac:dyDescent="0.25">
      <c r="A177" s="110"/>
      <c r="B177" s="103" t="s">
        <v>4</v>
      </c>
      <c r="C177" s="65" t="e">
        <f>#REF!+#REF!</f>
        <v>#REF!</v>
      </c>
      <c r="D177" s="65" t="e">
        <f>#REF!+#REF!</f>
        <v>#REF!</v>
      </c>
      <c r="E177" s="65" t="e">
        <f>#REF!+#REF!</f>
        <v>#REF!</v>
      </c>
      <c r="F177" s="65"/>
      <c r="G177" s="65"/>
      <c r="H177" s="65"/>
      <c r="I177" s="74" t="e">
        <f>H177/G177</f>
        <v>#DIV/0!</v>
      </c>
      <c r="J177" s="65"/>
      <c r="K177" s="75" t="e">
        <f>J177/G177</f>
        <v>#DIV/0!</v>
      </c>
      <c r="L177" s="65"/>
      <c r="M177" s="65"/>
      <c r="N177" s="65"/>
      <c r="O177" s="95">
        <f>H177-L177</f>
        <v>0</v>
      </c>
      <c r="P177"/>
    </row>
    <row r="178" spans="1:16" s="46" customFormat="1" x14ac:dyDescent="0.25">
      <c r="A178" s="110"/>
      <c r="B178" s="103" t="s">
        <v>16</v>
      </c>
      <c r="C178" s="65"/>
      <c r="D178" s="65"/>
      <c r="E178" s="65"/>
      <c r="F178" s="65">
        <v>57382.9</v>
      </c>
      <c r="G178" s="65">
        <v>127527.6</v>
      </c>
      <c r="H178" s="65">
        <f>24444.5+3244.8</f>
        <v>27689.3</v>
      </c>
      <c r="I178" s="74">
        <f>H178/G178</f>
        <v>0.22</v>
      </c>
      <c r="J178" s="65">
        <v>27689.3</v>
      </c>
      <c r="K178" s="75">
        <f>J178/G178</f>
        <v>0.22</v>
      </c>
      <c r="L178" s="65">
        <f>26909.12+6902.57+70144.7</f>
        <v>103956.39</v>
      </c>
      <c r="M178" s="65"/>
      <c r="N178" s="65"/>
      <c r="O178" s="95">
        <f>G178-L178</f>
        <v>23571.21</v>
      </c>
      <c r="P178"/>
    </row>
    <row r="179" spans="1:16" s="46" customFormat="1" x14ac:dyDescent="0.25">
      <c r="A179" s="110"/>
      <c r="B179" s="103" t="s">
        <v>11</v>
      </c>
      <c r="C179" s="65"/>
      <c r="D179" s="65"/>
      <c r="E179" s="65"/>
      <c r="F179" s="65">
        <v>994.51</v>
      </c>
      <c r="G179" s="65">
        <v>4686.3</v>
      </c>
      <c r="H179" s="65">
        <v>1393.33</v>
      </c>
      <c r="I179" s="74">
        <f>H179/G179</f>
        <v>0.3</v>
      </c>
      <c r="J179" s="65">
        <v>1393.33</v>
      </c>
      <c r="K179" s="75">
        <f>J179/G179</f>
        <v>0.3</v>
      </c>
      <c r="L179" s="65">
        <f>318.65+225.78+3691.79</f>
        <v>4236.22</v>
      </c>
      <c r="M179" s="65"/>
      <c r="N179" s="65"/>
      <c r="O179" s="95">
        <f>G179-L179</f>
        <v>450.08</v>
      </c>
      <c r="P179"/>
    </row>
    <row r="180" spans="1:16" s="46" customFormat="1" x14ac:dyDescent="0.25">
      <c r="A180" s="110"/>
      <c r="B180" s="103" t="s">
        <v>13</v>
      </c>
      <c r="C180" s="65"/>
      <c r="D180" s="65"/>
      <c r="E180" s="65"/>
      <c r="F180" s="65"/>
      <c r="G180" s="65"/>
      <c r="H180" s="65"/>
      <c r="I180" s="74" t="e">
        <f>H180/G180</f>
        <v>#DIV/0!</v>
      </c>
      <c r="J180" s="65"/>
      <c r="K180" s="75" t="e">
        <f>J180/G180</f>
        <v>#DIV/0!</v>
      </c>
      <c r="L180" s="65"/>
      <c r="M180" s="65"/>
      <c r="N180" s="65"/>
      <c r="O180" s="95">
        <f>H180-L180</f>
        <v>0</v>
      </c>
      <c r="P180"/>
    </row>
    <row r="181" spans="1:16" s="46" customFormat="1" x14ac:dyDescent="0.25">
      <c r="A181" s="110"/>
      <c r="B181" s="103" t="s">
        <v>5</v>
      </c>
      <c r="C181" s="65"/>
      <c r="D181" s="65"/>
      <c r="E181" s="65"/>
      <c r="F181" s="65"/>
      <c r="G181" s="65"/>
      <c r="H181" s="65"/>
      <c r="I181" s="74" t="e">
        <f>H181/G181</f>
        <v>#DIV/0!</v>
      </c>
      <c r="J181" s="65"/>
      <c r="K181" s="75" t="e">
        <f>J181/G181</f>
        <v>#DIV/0!</v>
      </c>
      <c r="L181" s="65"/>
      <c r="M181" s="65"/>
      <c r="N181" s="65"/>
      <c r="O181" s="95">
        <f>H181-L181</f>
        <v>0</v>
      </c>
      <c r="P181"/>
    </row>
    <row r="182" spans="1:16" s="138" customFormat="1" ht="142.5" customHeight="1" x14ac:dyDescent="0.25">
      <c r="A182" s="277" t="s">
        <v>46</v>
      </c>
      <c r="B182" s="69" t="s">
        <v>113</v>
      </c>
      <c r="C182" s="61"/>
      <c r="D182" s="61"/>
      <c r="E182" s="61"/>
      <c r="F182" s="107"/>
      <c r="G182" s="107"/>
      <c r="H182" s="107"/>
      <c r="I182" s="108"/>
      <c r="J182" s="107"/>
      <c r="K182" s="109"/>
      <c r="L182" s="109"/>
      <c r="M182" s="72"/>
      <c r="N182" s="72"/>
      <c r="O182" s="72"/>
      <c r="P182" s="117" t="s">
        <v>124</v>
      </c>
    </row>
    <row r="183" spans="1:16" s="101" customFormat="1" ht="138.75" customHeight="1" x14ac:dyDescent="0.25">
      <c r="A183" s="277" t="s">
        <v>32</v>
      </c>
      <c r="B183" s="69" t="s">
        <v>114</v>
      </c>
      <c r="C183" s="61"/>
      <c r="D183" s="61"/>
      <c r="E183" s="61"/>
      <c r="F183" s="107"/>
      <c r="G183" s="107"/>
      <c r="H183" s="107"/>
      <c r="I183" s="108"/>
      <c r="J183" s="107"/>
      <c r="K183" s="109"/>
      <c r="L183" s="109"/>
      <c r="M183" s="72"/>
      <c r="N183" s="72"/>
      <c r="O183" s="72"/>
      <c r="P183" s="117" t="s">
        <v>124</v>
      </c>
    </row>
    <row r="184" spans="1:16" s="101" customFormat="1" ht="175.5" customHeight="1" x14ac:dyDescent="0.25">
      <c r="A184" s="277" t="s">
        <v>118</v>
      </c>
      <c r="B184" s="69" t="s">
        <v>115</v>
      </c>
      <c r="C184" s="61" t="e">
        <f>#REF!+#REF!+#REF!+#REF!+#REF!</f>
        <v>#REF!</v>
      </c>
      <c r="D184" s="61" t="e">
        <f>#REF!+#REF!+#REF!+#REF!+#REF!</f>
        <v>#REF!</v>
      </c>
      <c r="E184" s="61" t="e">
        <f>#REF!+#REF!+#REF!+#REF!+#REF!</f>
        <v>#REF!</v>
      </c>
      <c r="F184" s="107"/>
      <c r="G184" s="107"/>
      <c r="H184" s="115"/>
      <c r="I184" s="108"/>
      <c r="J184" s="107"/>
      <c r="K184" s="109"/>
      <c r="L184" s="109"/>
      <c r="M184" s="72"/>
      <c r="N184" s="72"/>
      <c r="O184" s="72"/>
      <c r="P184" s="117" t="s">
        <v>124</v>
      </c>
    </row>
    <row r="185" spans="1:16" ht="210.75" customHeight="1" x14ac:dyDescent="0.4">
      <c r="A185" s="277" t="s">
        <v>59</v>
      </c>
      <c r="B185" s="69" t="s">
        <v>116</v>
      </c>
      <c r="C185" s="61" t="e">
        <f>#REF!+#REF!+#REF!+#REF!+#REF!</f>
        <v>#REF!</v>
      </c>
      <c r="D185" s="61" t="e">
        <f>#REF!+#REF!+#REF!+#REF!+#REF!</f>
        <v>#REF!</v>
      </c>
      <c r="E185" s="61" t="e">
        <f>#REF!+#REF!+#REF!+#REF!+#REF!</f>
        <v>#REF!</v>
      </c>
      <c r="F185" s="107"/>
      <c r="G185" s="107"/>
      <c r="H185" s="115"/>
      <c r="I185" s="108"/>
      <c r="J185" s="107"/>
      <c r="K185" s="109"/>
      <c r="L185" s="109"/>
      <c r="M185" s="72"/>
      <c r="N185" s="72"/>
      <c r="O185" s="72"/>
      <c r="P185" s="117" t="s">
        <v>124</v>
      </c>
    </row>
    <row r="186" spans="1:16" ht="175.5" customHeight="1" x14ac:dyDescent="0.4">
      <c r="A186" s="277" t="s">
        <v>60</v>
      </c>
      <c r="B186" s="69" t="s">
        <v>117</v>
      </c>
      <c r="C186" s="61" t="e">
        <f>#REF!+#REF!+#REF!+#REF!+#REF!</f>
        <v>#REF!</v>
      </c>
      <c r="D186" s="61" t="e">
        <f>#REF!+#REF!+#REF!+#REF!+#REF!</f>
        <v>#REF!</v>
      </c>
      <c r="E186" s="61" t="e">
        <f>#REF!+#REF!+#REF!+#REF!+#REF!</f>
        <v>#REF!</v>
      </c>
      <c r="F186" s="107"/>
      <c r="G186" s="107"/>
      <c r="H186" s="115"/>
      <c r="I186" s="108"/>
      <c r="J186" s="107"/>
      <c r="K186" s="109"/>
      <c r="L186" s="109"/>
      <c r="M186" s="72"/>
      <c r="N186" s="72"/>
      <c r="O186" s="72"/>
      <c r="P186" s="117" t="s">
        <v>124</v>
      </c>
    </row>
    <row r="187" spans="1:16" x14ac:dyDescent="0.4">
      <c r="L187" s="142"/>
      <c r="M187" s="142"/>
      <c r="N187" s="142"/>
      <c r="O187" s="142"/>
      <c r="P187" s="40"/>
    </row>
    <row r="394" spans="1:15" s="82" customFormat="1" x14ac:dyDescent="0.4">
      <c r="A394" s="139"/>
      <c r="B394" s="40"/>
      <c r="C394" s="40"/>
      <c r="D394" s="40"/>
      <c r="E394" s="40"/>
      <c r="F394" s="140"/>
      <c r="G394" s="140"/>
      <c r="H394" s="141"/>
      <c r="I394" s="142"/>
      <c r="J394" s="140"/>
      <c r="K394" s="142"/>
      <c r="L394" s="143"/>
      <c r="M394" s="143"/>
      <c r="N394" s="143"/>
      <c r="O394" s="143"/>
    </row>
    <row r="395" spans="1:15" s="82" customFormat="1" x14ac:dyDescent="0.4">
      <c r="A395" s="139"/>
      <c r="B395" s="40"/>
      <c r="C395" s="40"/>
      <c r="D395" s="40"/>
      <c r="E395" s="40"/>
      <c r="F395" s="140"/>
      <c r="G395" s="140"/>
      <c r="H395" s="141"/>
      <c r="I395" s="142"/>
      <c r="J395" s="140"/>
      <c r="K395" s="142"/>
      <c r="L395" s="143"/>
      <c r="M395" s="143"/>
      <c r="N395" s="143"/>
      <c r="O395" s="143"/>
    </row>
    <row r="396" spans="1:15" s="82" customFormat="1" x14ac:dyDescent="0.4">
      <c r="A396" s="139"/>
      <c r="B396" s="40"/>
      <c r="C396" s="40"/>
      <c r="D396" s="40"/>
      <c r="E396" s="40"/>
      <c r="F396" s="140"/>
      <c r="G396" s="140"/>
      <c r="H396" s="141"/>
      <c r="I396" s="142"/>
      <c r="J396" s="140"/>
      <c r="K396" s="142"/>
      <c r="L396" s="143"/>
      <c r="M396" s="143"/>
      <c r="N396" s="143"/>
      <c r="O396" s="143"/>
    </row>
    <row r="406" spans="1:11" s="40" customFormat="1" x14ac:dyDescent="0.4">
      <c r="A406" s="144"/>
      <c r="B406" s="82"/>
      <c r="C406" s="82"/>
      <c r="D406" s="82"/>
      <c r="E406" s="82"/>
      <c r="F406" s="145"/>
      <c r="G406" s="145"/>
      <c r="H406" s="146"/>
      <c r="I406" s="143"/>
      <c r="J406" s="145"/>
      <c r="K406" s="143"/>
    </row>
    <row r="407" spans="1:11" s="40" customFormat="1" x14ac:dyDescent="0.4">
      <c r="A407" s="144"/>
      <c r="B407" s="82"/>
      <c r="C407" s="82"/>
      <c r="D407" s="82"/>
      <c r="E407" s="82"/>
      <c r="F407" s="145"/>
      <c r="G407" s="145"/>
      <c r="H407" s="146"/>
      <c r="I407" s="143"/>
      <c r="J407" s="145"/>
      <c r="K407" s="143"/>
    </row>
    <row r="408" spans="1:11" s="40" customFormat="1" x14ac:dyDescent="0.4">
      <c r="A408" s="144"/>
      <c r="B408" s="82"/>
      <c r="C408" s="82"/>
      <c r="D408" s="82"/>
      <c r="E408" s="82"/>
      <c r="F408" s="145"/>
      <c r="G408" s="145"/>
      <c r="H408" s="146"/>
      <c r="I408" s="143"/>
      <c r="J408" s="145"/>
      <c r="K408" s="143"/>
    </row>
  </sheetData>
  <customSheetViews>
    <customSheetView guid="{BEA0FDBA-BB07-4C19-8BBD-5E57EE395C09}" scale="42" hiddenColumns="1">
      <selection activeCell="B2" sqref="B2"/>
      <pageMargins left="0.7" right="0.7" top="0.75" bottom="0.75" header="0.3" footer="0.3"/>
    </customSheetView>
    <customSheetView guid="{A0A3CD9B-2436-40D7-91DB-589A95FBBF00}" scale="42" hiddenColumns="1">
      <selection activeCell="B2" sqref="B2"/>
      <pageMargins left="0.7" right="0.7" top="0.75" bottom="0.75" header="0.3" footer="0.3"/>
    </customSheetView>
    <customSheetView guid="{998B8119-4FF3-4A16-838D-539C6AE34D55}" scale="42" hiddenColumns="1">
      <selection activeCell="B2" sqref="B2"/>
      <pageMargins left="0.7" right="0.7" top="0.75" bottom="0.75" header="0.3" footer="0.3"/>
    </customSheetView>
    <customSheetView guid="{649E5CE3-4976-49D9-83DA-4E57FFC714BF}" scale="42" showPageBreaks="1" hiddenColumns="1">
      <selection activeCell="B2" sqref="B2"/>
      <pageMargins left="0.7" right="0.7" top="0.75" bottom="0.75" header="0.3" footer="0.3"/>
      <pageSetup paperSize="9" orientation="portrait" r:id="rId1"/>
    </customSheetView>
    <customSheetView guid="{67ADFAE6-A9AF-44D7-8539-93CD0F6B7849}" scale="42" hiddenColumns="1">
      <selection activeCell="B2" sqref="B2"/>
      <pageMargins left="0.7" right="0.7" top="0.75" bottom="0.75" header="0.3" footer="0.3"/>
    </customSheetView>
    <customSheetView guid="{539CB3DF-9B66-4BE7-9074-8CE0405EB8A6}" scale="42" hiddenColumns="1">
      <selection activeCell="B2" sqref="B2"/>
      <pageMargins left="0.7" right="0.7" top="0.75" bottom="0.75" header="0.3" footer="0.3"/>
    </customSheetView>
    <customSheetView guid="{D95852A1-B0FC-4AC5-B62B-5CCBE05B0D15}" scale="42" hiddenColumns="1">
      <selection activeCell="B2" sqref="B2"/>
      <pageMargins left="0.7" right="0.7" top="0.75" bottom="0.75" header="0.3" footer="0.3"/>
    </customSheetView>
    <customSheetView guid="{45DE1976-7F07-4EB4-8A9C-FB72D060BEFA}" scale="42" hiddenColumns="1">
      <selection activeCell="B2" sqref="B2"/>
      <pageMargins left="0.7" right="0.7" top="0.75" bottom="0.75" header="0.3" footer="0.3"/>
    </customSheetView>
    <customSheetView guid="{7B245AB0-C2AF-4822-BFC4-2399F85856C1}" scale="42" hiddenColumns="1">
      <selection activeCell="B2" sqref="B2"/>
      <pageMargins left="0.7" right="0.7" top="0.75" bottom="0.75" header="0.3" footer="0.3"/>
    </customSheetView>
    <customSheetView guid="{5FB953A5-71FF-4056-AF98-C9D06FF0EDF3}" scale="42" hiddenColumns="1">
      <selection activeCell="B2" sqref="B2"/>
      <pageMargins left="0.7" right="0.7" top="0.75" bottom="0.75" header="0.3" footer="0.3"/>
    </customSheetView>
  </customSheetView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на 01.09.2016</vt:lpstr>
      <vt:lpstr>перечень</vt:lpstr>
      <vt:lpstr>Лист1</vt:lpstr>
      <vt:lpstr>'на 01.09.2016'!Заголовки_для_печати</vt:lpstr>
      <vt:lpstr>перечень!Заголовки_для_печати</vt:lpstr>
      <vt:lpstr>'на 01.09.2016'!Область_печати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Рогожина Ольга Сергеевна</cp:lastModifiedBy>
  <cp:lastPrinted>2017-01-31T12:30:23Z</cp:lastPrinted>
  <dcterms:created xsi:type="dcterms:W3CDTF">2011-12-13T05:34:09Z</dcterms:created>
  <dcterms:modified xsi:type="dcterms:W3CDTF">2017-01-31T12:31:15Z</dcterms:modified>
</cp:coreProperties>
</file>