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<sst xmlns="http://schemas.openxmlformats.org/spreadsheetml/2006/main" count="105" uniqueCount="79">
  <si>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Выборы депутатов Думы города Сургута шестого созыва</t>
  </si>
  <si>
    <t>В руб.</t>
  </si>
  <si>
    <t>1</t>
  </si>
  <si>
    <t>1.</t>
  </si>
  <si>
    <t>2.</t>
  </si>
  <si>
    <t>3.</t>
  </si>
  <si>
    <t>4.</t>
  </si>
  <si>
    <t/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</si>
  <si>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</si>
  <si>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</si>
  <si>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</si>
  <si>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</si>
  <si>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</si>
  <si>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</si>
  <si>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</si>
  <si>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</si>
  <si>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</si>
  <si>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</si>
  <si>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</si>
  <si>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</si>
  <si>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</si>
  <si>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</si>
  <si>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</si>
  <si>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</si>
  <si>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01.08.2016</t>
  </si>
  <si>
    <t>21.</t>
  </si>
  <si>
    <t>22.</t>
  </si>
  <si>
    <t>23.</t>
  </si>
  <si>
    <t>28.07.2016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</si>
  <si>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</si>
  <si>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</si>
  <si>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</si>
  <si>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</si>
  <si>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</si>
  <si>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</si>
  <si>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</si>
  <si>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</si>
  <si>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</si>
  <si>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</si>
  <si>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</si>
  <si>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</si>
  <si>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</si>
  <si>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</si>
  <si>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</si>
  <si>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</si>
  <si>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</si>
  <si>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</si>
  <si>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</si>
  <si>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</si>
  <si>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</si>
  <si>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</si>
  <si>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</si>
  <si>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</si>
  <si>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</si>
  <si>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</si>
  <si>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</si>
  <si>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</si>
  <si>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</si>
  <si>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</si>
  <si>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</si>
  <si>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</si>
  <si>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</si>
  <si>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</si>
  <si>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</si>
  <si>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</si>
  <si>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</si>
  <si>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</si>
  <si>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</si>
  <si>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</si>
  <si>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</si>
  <si>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</si>
  <si>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</si>
  <si>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По состоянию на 02.08.2016</t>
  </si>
  <si>
    <t xml:space="preserve"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</t>
  </si>
  <si>
    <t>Урдя Светлана Степановна</t>
  </si>
  <si>
    <t>Кристя Дина Наильевна</t>
  </si>
  <si>
    <t>Дювенжи Татьяна Николаевна</t>
  </si>
  <si>
    <t>67.</t>
  </si>
  <si>
    <t>68.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</si>
</sst>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164" fontId="41" fillId="34" borderId="10" xfId="0" applyNumberFormat="1" applyFont="1" applyFill="1" applyBorder="1" applyAlignment="1">
      <alignment horizontal="right" vertical="top" wrapText="1"/>
    </xf>
    <xf numFmtId="1" fontId="41" fillId="34" borderId="10" xfId="0" applyNumberFormat="1" applyFont="1" applyFill="1" applyBorder="1" applyAlignment="1">
      <alignment horizontal="center" vertical="top" wrapText="1"/>
    </xf>
    <xf numFmtId="165" fontId="41" fillId="34" borderId="10" xfId="0" applyNumberFormat="1" applyFont="1" applyFill="1" applyBorder="1" applyAlignment="1">
      <alignment horizontal="center" vertical="top" wrapText="1"/>
    </xf>
    <xf numFmtId="0" fontId="40" fillId="33" borderId="10" xfId="0" applyNumberFormat="1" applyFont="1" applyFill="1" applyBorder="1" applyAlignment="1" quotePrefix="1">
      <alignment horizontal="center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164" fontId="40" fillId="33" borderId="10" xfId="0" applyNumberFormat="1" applyFont="1" applyFill="1" applyBorder="1" applyAlignment="1">
      <alignment horizontal="right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164" fontId="40" fillId="34" borderId="10" xfId="0" applyNumberFormat="1" applyFont="1" applyFill="1" applyBorder="1" applyAlignment="1">
      <alignment horizontal="right" vertical="top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5" fontId="40" fillId="3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 quotePrefix="1">
      <alignment/>
    </xf>
    <xf numFmtId="0" fontId="30" fillId="0" borderId="0" xfId="0" applyFont="1" applyAlignment="1">
      <alignment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righ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4" fontId="40" fillId="33" borderId="10" xfId="0" applyNumberFormat="1" applyFont="1" applyFill="1" applyBorder="1" applyAlignment="1">
      <alignment horizontal="right" vertical="top" wrapText="1"/>
    </xf>
    <xf numFmtId="4" fontId="41" fillId="33" borderId="10" xfId="0" applyNumberFormat="1" applyFont="1" applyFill="1" applyBorder="1" applyAlignment="1">
      <alignment horizontal="right" vertical="top" wrapText="1"/>
    </xf>
    <xf numFmtId="0" fontId="41" fillId="34" borderId="10" xfId="0" applyNumberFormat="1" applyFont="1" applyFill="1" applyBorder="1" applyAlignment="1">
      <alignment horizontal="center" vertical="top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3" xfId="0" applyNumberFormat="1" applyFont="1" applyFill="1" applyBorder="1" applyAlignment="1">
      <alignment horizontal="center" vertical="center" wrapText="1"/>
    </xf>
    <xf numFmtId="166" fontId="44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PageLayoutView="0" workbookViewId="0" topLeftCell="A1">
      <selection activeCell="A109" sqref="A109:N109"/>
    </sheetView>
  </sheetViews>
  <sheetFormatPr defaultColWidth="9.140625" defaultRowHeight="15"/>
  <cols>
    <col min="1" max="1" width="5.7109375" style="0" customWidth="1"/>
    <col min="2" max="3" width="13.140625" style="0" customWidth="1"/>
    <col min="4" max="4" width="15.7109375" style="25" customWidth="1"/>
    <col min="5" max="5" width="15.7109375" style="0" customWidth="1"/>
    <col min="6" max="6" width="10.140625" style="0" customWidth="1"/>
    <col min="7" max="7" width="15.7109375" style="0" customWidth="1"/>
    <col min="8" max="8" width="5.7109375" style="0" customWidth="1"/>
    <col min="9" max="9" width="15.7109375" style="25" customWidth="1"/>
    <col min="10" max="10" width="13.140625" style="0" customWidth="1"/>
    <col min="11" max="11" width="15.7109375" style="0" customWidth="1"/>
    <col min="12" max="12" width="10.140625" style="0" customWidth="1"/>
    <col min="13" max="13" width="15.7109375" style="0" customWidth="1"/>
    <col min="14" max="14" width="19.140625" style="0" customWidth="1"/>
    <col min="15" max="15" width="9.140625" style="0" customWidth="1"/>
  </cols>
  <sheetData>
    <row r="1" ht="15" customHeight="1">
      <c r="N1" s="1"/>
    </row>
    <row r="2" spans="1:14" ht="123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">
      <c r="N4" s="3" t="s">
        <v>72</v>
      </c>
    </row>
    <row r="5" ht="15">
      <c r="N5" s="3" t="s">
        <v>1</v>
      </c>
    </row>
    <row r="6" spans="1:14" ht="24" customHeight="1">
      <c r="A6" s="35" t="str">
        <f>"№
п/п"</f>
        <v>№
п/п</v>
      </c>
      <c r="B6" s="35" t="str">
        <f>"Наименование избирательного округа"</f>
        <v>Наименование избирательного округа</v>
      </c>
      <c r="C6" s="35" t="str">
        <f>"Фамилия, имя, отчество кандидата"</f>
        <v>Фамилия, имя, отчество кандидата</v>
      </c>
      <c r="D6" s="38" t="str">
        <f>"Поступило средств"</f>
        <v>Поступило средств</v>
      </c>
      <c r="E6" s="39"/>
      <c r="F6" s="39"/>
      <c r="G6" s="39"/>
      <c r="H6" s="40"/>
      <c r="I6" s="38" t="str">
        <f>"Израсходовано средств"</f>
        <v>Израсходовано средств</v>
      </c>
      <c r="J6" s="39"/>
      <c r="K6" s="39"/>
      <c r="L6" s="40"/>
      <c r="M6" s="38" t="str">
        <f>"Возвращено средств"</f>
        <v>Возвращено средств</v>
      </c>
      <c r="N6" s="40"/>
    </row>
    <row r="7" spans="1:15" ht="52.5" customHeight="1">
      <c r="A7" s="36"/>
      <c r="B7" s="36"/>
      <c r="C7" s="36"/>
      <c r="D7" s="41" t="str">
        <f>"всего"</f>
        <v>всего</v>
      </c>
      <c r="E7" s="38" t="str">
        <f>"из них"</f>
        <v>из них</v>
      </c>
      <c r="F7" s="39"/>
      <c r="G7" s="39"/>
      <c r="H7" s="40"/>
      <c r="I7" s="41" t="str">
        <f>"всего"</f>
        <v>всего</v>
      </c>
      <c r="J7" s="3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39"/>
      <c r="L7" s="40"/>
      <c r="M7" s="35" t="str">
        <f>"сумма, руб."</f>
        <v>сумма, руб.</v>
      </c>
      <c r="N7" s="35" t="str">
        <f>"основание возврата"</f>
        <v>основание возврата</v>
      </c>
      <c r="O7" s="2"/>
    </row>
    <row r="8" spans="1:15" ht="69.75" customHeight="1">
      <c r="A8" s="36"/>
      <c r="B8" s="36"/>
      <c r="C8" s="36"/>
      <c r="D8" s="42"/>
      <c r="E8" s="3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40"/>
      <c r="G8" s="38" t="str">
        <f>"пожертвования от граждан на сумму, превышающую  40 тыс. рублей"</f>
        <v>пожертвования от граждан на сумму, превышающую  40 тыс. рублей</v>
      </c>
      <c r="H8" s="40"/>
      <c r="I8" s="42"/>
      <c r="J8" s="35" t="str">
        <f>"дата операции"</f>
        <v>дата операции</v>
      </c>
      <c r="K8" s="35" t="str">
        <f>"сумма, руб."</f>
        <v>сумма, руб.</v>
      </c>
      <c r="L8" s="35" t="str">
        <f>"назначение платежа"</f>
        <v>назначение платежа</v>
      </c>
      <c r="M8" s="36"/>
      <c r="N8" s="36"/>
      <c r="O8" s="2"/>
    </row>
    <row r="9" spans="1:15" ht="75" customHeight="1">
      <c r="A9" s="37"/>
      <c r="B9" s="37"/>
      <c r="C9" s="37"/>
      <c r="D9" s="43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43"/>
      <c r="J9" s="37"/>
      <c r="K9" s="37"/>
      <c r="L9" s="37"/>
      <c r="M9" s="37"/>
      <c r="N9" s="37"/>
      <c r="O9" s="2"/>
    </row>
    <row r="10" spans="1:15" ht="15">
      <c r="A10" s="6" t="s">
        <v>2</v>
      </c>
      <c r="B10" s="4" t="str">
        <f>"2"</f>
        <v>2</v>
      </c>
      <c r="C10" s="4" t="str">
        <f>"3"</f>
        <v>3</v>
      </c>
      <c r="D10" s="26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26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1.25" customHeight="1">
      <c r="A11" s="7" t="s">
        <v>3</v>
      </c>
      <c r="B11" s="8" t="str">
        <f>"Округ №1 (№ 1)"</f>
        <v>Округ №1 (№ 1)</v>
      </c>
      <c r="C11" s="8" t="str">
        <f>"Петрова Кристина Леонидовна"</f>
        <v>Петрова Кристина Леонидовна</v>
      </c>
      <c r="D11" s="27">
        <v>1000</v>
      </c>
      <c r="E11" s="9"/>
      <c r="F11" s="8">
        <f>""</f>
      </c>
      <c r="G11" s="9"/>
      <c r="H11" s="10"/>
      <c r="I11" s="27">
        <v>1000</v>
      </c>
      <c r="J11" s="11"/>
      <c r="K11" s="9"/>
      <c r="L11" s="8">
        <f>""</f>
      </c>
      <c r="M11" s="9"/>
      <c r="N11" s="8">
        <f>""</f>
      </c>
      <c r="O11" s="5"/>
    </row>
    <row r="12" spans="1:15" ht="41.25" customHeight="1">
      <c r="A12" s="7"/>
      <c r="B12" s="8"/>
      <c r="C12" s="17" t="str">
        <f>"Избирательный округ № 1, всего"</f>
        <v>Избирательный округ № 1, всего</v>
      </c>
      <c r="D12" s="28">
        <f>D11</f>
        <v>1000</v>
      </c>
      <c r="E12" s="9"/>
      <c r="F12" s="8"/>
      <c r="G12" s="9"/>
      <c r="H12" s="10"/>
      <c r="I12" s="28">
        <f>I11</f>
        <v>1000</v>
      </c>
      <c r="J12" s="11"/>
      <c r="K12" s="9"/>
      <c r="L12" s="8"/>
      <c r="M12" s="9"/>
      <c r="N12" s="8"/>
      <c r="O12" s="5"/>
    </row>
    <row r="13" spans="1:15" ht="38.25">
      <c r="A13" s="7" t="s">
        <v>4</v>
      </c>
      <c r="B13" s="8" t="str">
        <f>"Округ №10 (№ 10)"</f>
        <v>Округ №10 (№ 10)</v>
      </c>
      <c r="C13" s="8" t="str">
        <f>"Грабовой Вячеслав Владимирович"</f>
        <v>Грабовой Вячеслав Владимирович</v>
      </c>
      <c r="D13" s="27">
        <v>201.6</v>
      </c>
      <c r="E13" s="9"/>
      <c r="F13" s="8">
        <f>""</f>
      </c>
      <c r="G13" s="9"/>
      <c r="H13" s="10"/>
      <c r="I13" s="27">
        <v>201.6</v>
      </c>
      <c r="J13" s="11"/>
      <c r="K13" s="9"/>
      <c r="L13" s="8">
        <f>""</f>
      </c>
      <c r="M13" s="9"/>
      <c r="N13" s="8">
        <f>""</f>
      </c>
      <c r="O13" s="5"/>
    </row>
    <row r="14" spans="1:15" ht="40.5" customHeight="1">
      <c r="A14" s="7" t="s">
        <v>5</v>
      </c>
      <c r="B14" s="8" t="str">
        <f>"Округ №10 (№ 10)"</f>
        <v>Округ №10 (№ 10)</v>
      </c>
      <c r="C14" s="8" t="str">
        <f>"Логвинчук Наталья Николаевна"</f>
        <v>Логвинчук Наталья Николаевна</v>
      </c>
      <c r="D14" s="27">
        <v>108</v>
      </c>
      <c r="E14" s="9"/>
      <c r="F14" s="8">
        <f>""</f>
      </c>
      <c r="G14" s="9"/>
      <c r="H14" s="10"/>
      <c r="I14" s="27">
        <v>108</v>
      </c>
      <c r="J14" s="11"/>
      <c r="K14" s="9"/>
      <c r="L14" s="8">
        <f>""</f>
      </c>
      <c r="M14" s="9"/>
      <c r="N14" s="8">
        <f>""</f>
      </c>
      <c r="O14" s="5"/>
    </row>
    <row r="15" spans="1:15" ht="38.25" customHeight="1">
      <c r="A15" s="7" t="s">
        <v>6</v>
      </c>
      <c r="B15" s="8" t="str">
        <f>"Округ №10 (№ 10)"</f>
        <v>Округ №10 (№ 10)</v>
      </c>
      <c r="C15" s="8" t="str">
        <f>"Пономарев Виктор Георгиевич"</f>
        <v>Пономарев Виктор Георгиевич</v>
      </c>
      <c r="D15" s="27">
        <v>200000</v>
      </c>
      <c r="E15" s="9"/>
      <c r="F15" s="8">
        <f>""</f>
      </c>
      <c r="G15" s="9"/>
      <c r="H15" s="10"/>
      <c r="I15" s="27">
        <v>119754.5</v>
      </c>
      <c r="J15" s="11"/>
      <c r="K15" s="9"/>
      <c r="L15" s="8">
        <f>""</f>
      </c>
      <c r="M15" s="9"/>
      <c r="N15" s="8">
        <f>""</f>
      </c>
      <c r="O15" s="5"/>
    </row>
    <row r="16" spans="1:15" ht="38.25" customHeight="1">
      <c r="A16" s="12" t="s">
        <v>7</v>
      </c>
      <c r="B16" s="13">
        <f>""</f>
      </c>
      <c r="C16" s="13" t="str">
        <f>"Избирательный округ № 10, всего"</f>
        <v>Избирательный округ № 10, всего</v>
      </c>
      <c r="D16" s="29">
        <f>D13+D14+D15</f>
        <v>200309.6</v>
      </c>
      <c r="E16" s="14">
        <v>0</v>
      </c>
      <c r="F16" s="13">
        <f>""</f>
      </c>
      <c r="G16" s="14">
        <v>0</v>
      </c>
      <c r="H16" s="15"/>
      <c r="I16" s="29">
        <f>I13+I14+I15</f>
        <v>120064.1</v>
      </c>
      <c r="J16" s="16"/>
      <c r="K16" s="14">
        <v>0</v>
      </c>
      <c r="L16" s="13">
        <f>""</f>
      </c>
      <c r="M16" s="14">
        <v>0</v>
      </c>
      <c r="N16" s="13">
        <f>""</f>
      </c>
      <c r="O16" s="5"/>
    </row>
    <row r="17" spans="1:15" ht="29.25" customHeight="1">
      <c r="A17" s="7" t="s">
        <v>8</v>
      </c>
      <c r="B17" s="8" t="str">
        <f>"Округ №11 (№ 11)"</f>
        <v>Округ №11 (№ 11)</v>
      </c>
      <c r="C17" s="8" t="str">
        <f>"Гуз Дмитрий Геннадьевич"</f>
        <v>Гуз Дмитрий Геннадьевич</v>
      </c>
      <c r="D17" s="27"/>
      <c r="E17" s="9">
        <v>50000</v>
      </c>
      <c r="F17" s="8" t="str">
        <f>"ООО ""АРТ-МЕДиУМ"""</f>
        <v>ООО "АРТ-МЕДиУМ"</v>
      </c>
      <c r="G17" s="9"/>
      <c r="H17" s="10"/>
      <c r="I17" s="27"/>
      <c r="J17" s="11"/>
      <c r="K17" s="9"/>
      <c r="L17" s="8">
        <f>""</f>
      </c>
      <c r="M17" s="9"/>
      <c r="N17" s="8">
        <f>""</f>
      </c>
      <c r="O17" s="5"/>
    </row>
    <row r="18" spans="1:15" ht="39" customHeight="1">
      <c r="A18" s="7" t="s">
        <v>7</v>
      </c>
      <c r="B18" s="8">
        <f>""</f>
      </c>
      <c r="C18" s="8">
        <f>""</f>
      </c>
      <c r="D18" s="27"/>
      <c r="E18" s="9">
        <v>50000</v>
      </c>
      <c r="F18" s="8" t="str">
        <f>"ООО МедИнфоЦентр"</f>
        <v>ООО МедИнфоЦентр</v>
      </c>
      <c r="G18" s="9"/>
      <c r="H18" s="10"/>
      <c r="I18" s="27"/>
      <c r="J18" s="11"/>
      <c r="K18" s="9"/>
      <c r="L18" s="8">
        <f>""</f>
      </c>
      <c r="M18" s="9"/>
      <c r="N18" s="8">
        <f>""</f>
      </c>
      <c r="O18" s="5"/>
    </row>
    <row r="19" spans="1:15" ht="30" customHeight="1">
      <c r="A19" s="12" t="s">
        <v>7</v>
      </c>
      <c r="B19" s="13">
        <f>""</f>
      </c>
      <c r="C19" s="13" t="str">
        <f>"Итого по кандидату"</f>
        <v>Итого по кандидату</v>
      </c>
      <c r="D19" s="29">
        <v>100000</v>
      </c>
      <c r="E19" s="14">
        <v>100000</v>
      </c>
      <c r="F19" s="13">
        <f>""</f>
      </c>
      <c r="G19" s="14">
        <v>0</v>
      </c>
      <c r="H19" s="15"/>
      <c r="I19" s="29">
        <v>0</v>
      </c>
      <c r="J19" s="16"/>
      <c r="K19" s="14">
        <v>0</v>
      </c>
      <c r="L19" s="13">
        <f>""</f>
      </c>
      <c r="M19" s="14">
        <v>0</v>
      </c>
      <c r="N19" s="13">
        <f>""</f>
      </c>
      <c r="O19" s="5"/>
    </row>
    <row r="20" spans="1:15" ht="45" customHeight="1">
      <c r="A20" s="7" t="s">
        <v>9</v>
      </c>
      <c r="B20" s="8" t="str">
        <f>"Округ №11 (№ 11)"</f>
        <v>Округ №11 (№ 11)</v>
      </c>
      <c r="C20" s="8" t="str">
        <f>"Матвийчук Григорий Петрович"</f>
        <v>Матвийчук Григорий Петрович</v>
      </c>
      <c r="D20" s="27">
        <v>1000</v>
      </c>
      <c r="E20" s="9"/>
      <c r="F20" s="8">
        <f>""</f>
      </c>
      <c r="G20" s="9"/>
      <c r="H20" s="10"/>
      <c r="I20" s="27">
        <v>260</v>
      </c>
      <c r="J20" s="11"/>
      <c r="K20" s="9"/>
      <c r="L20" s="8">
        <f>""</f>
      </c>
      <c r="M20" s="9"/>
      <c r="N20" s="8">
        <f>""</f>
      </c>
      <c r="O20" s="5"/>
    </row>
    <row r="21" spans="1:15" ht="42" customHeight="1">
      <c r="A21" s="12" t="s">
        <v>7</v>
      </c>
      <c r="B21" s="13">
        <f>""</f>
      </c>
      <c r="C21" s="13" t="str">
        <f>"Избирательный округ № 11, всего"</f>
        <v>Избирательный округ № 11, всего</v>
      </c>
      <c r="D21" s="29">
        <v>101000</v>
      </c>
      <c r="E21" s="14">
        <v>100000</v>
      </c>
      <c r="F21" s="13">
        <f>""</f>
      </c>
      <c r="G21" s="14">
        <v>0</v>
      </c>
      <c r="H21" s="15"/>
      <c r="I21" s="29">
        <v>260</v>
      </c>
      <c r="J21" s="16"/>
      <c r="K21" s="14">
        <v>0</v>
      </c>
      <c r="L21" s="13">
        <f>""</f>
      </c>
      <c r="M21" s="14">
        <v>0</v>
      </c>
      <c r="N21" s="13">
        <f>""</f>
      </c>
      <c r="O21" s="5"/>
    </row>
    <row r="22" spans="1:15" ht="45" customHeight="1">
      <c r="A22" s="7" t="s">
        <v>10</v>
      </c>
      <c r="B22" s="8" t="str">
        <f aca="true" t="shared" si="0" ref="B22:B27">"Округ №12 (№ 12)"</f>
        <v>Округ №12 (№ 12)</v>
      </c>
      <c r="C22" s="8" t="str">
        <f>"Азизов Анатолий Азизович"</f>
        <v>Азизов Анатолий Азизович</v>
      </c>
      <c r="D22" s="27">
        <v>500</v>
      </c>
      <c r="E22" s="9"/>
      <c r="F22" s="8">
        <f>""</f>
      </c>
      <c r="G22" s="9"/>
      <c r="H22" s="10"/>
      <c r="I22" s="27">
        <v>500</v>
      </c>
      <c r="J22" s="11"/>
      <c r="K22" s="9"/>
      <c r="L22" s="8">
        <f>""</f>
      </c>
      <c r="M22" s="9"/>
      <c r="N22" s="8">
        <f>""</f>
      </c>
      <c r="O22" s="5"/>
    </row>
    <row r="23" spans="1:15" ht="39.75" customHeight="1">
      <c r="A23" s="7" t="s">
        <v>11</v>
      </c>
      <c r="B23" s="8" t="str">
        <f t="shared" si="0"/>
        <v>Округ №12 (№ 12)</v>
      </c>
      <c r="C23" s="8" t="str">
        <f>"Азизов Анатолий Азизович"</f>
        <v>Азизов Анатолий Азизович</v>
      </c>
      <c r="D23" s="27">
        <v>36</v>
      </c>
      <c r="E23" s="9"/>
      <c r="F23" s="8">
        <f>""</f>
      </c>
      <c r="G23" s="9"/>
      <c r="H23" s="10"/>
      <c r="I23" s="27">
        <v>36</v>
      </c>
      <c r="J23" s="11"/>
      <c r="K23" s="9"/>
      <c r="L23" s="8">
        <f>""</f>
      </c>
      <c r="M23" s="9"/>
      <c r="N23" s="8">
        <f>""</f>
      </c>
      <c r="O23" s="5"/>
    </row>
    <row r="24" spans="1:15" ht="41.25" customHeight="1">
      <c r="A24" s="7" t="s">
        <v>12</v>
      </c>
      <c r="B24" s="8" t="str">
        <f t="shared" si="0"/>
        <v>Округ №12 (№ 12)</v>
      </c>
      <c r="C24" s="8" t="str">
        <f>"Ибрагимова Эльнара Ибрагимовна"</f>
        <v>Ибрагимова Эльнара Ибрагимовна</v>
      </c>
      <c r="D24" s="27">
        <v>72</v>
      </c>
      <c r="E24" s="9"/>
      <c r="F24" s="8">
        <f>""</f>
      </c>
      <c r="G24" s="9"/>
      <c r="H24" s="10"/>
      <c r="I24" s="27">
        <v>72</v>
      </c>
      <c r="J24" s="11"/>
      <c r="K24" s="9"/>
      <c r="L24" s="8">
        <f>""</f>
      </c>
      <c r="M24" s="9"/>
      <c r="N24" s="8">
        <f>""</f>
      </c>
      <c r="O24" s="5"/>
    </row>
    <row r="25" spans="1:15" ht="29.25" customHeight="1">
      <c r="A25" s="7" t="s">
        <v>13</v>
      </c>
      <c r="B25" s="8" t="str">
        <f t="shared" si="0"/>
        <v>Округ №12 (№ 12)</v>
      </c>
      <c r="C25" s="8" t="str">
        <f>"Леснова Ольга Валерьевна"</f>
        <v>Леснова Ольга Валерьевна</v>
      </c>
      <c r="D25" s="27">
        <v>200000</v>
      </c>
      <c r="E25" s="9"/>
      <c r="F25" s="8">
        <f>""</f>
      </c>
      <c r="G25" s="9"/>
      <c r="H25" s="10"/>
      <c r="I25" s="27">
        <v>21853</v>
      </c>
      <c r="J25" s="11"/>
      <c r="K25" s="9"/>
      <c r="L25" s="8">
        <f>""</f>
      </c>
      <c r="M25" s="9"/>
      <c r="N25" s="8">
        <f>""</f>
      </c>
      <c r="O25" s="5"/>
    </row>
    <row r="26" spans="1:15" ht="41.25" customHeight="1">
      <c r="A26" s="7" t="s">
        <v>14</v>
      </c>
      <c r="B26" s="8" t="str">
        <f t="shared" si="0"/>
        <v>Округ №12 (№ 12)</v>
      </c>
      <c r="C26" s="8" t="str">
        <f>"Сухарев Дмитрий Анатольевич"</f>
        <v>Сухарев Дмитрий Анатольевич</v>
      </c>
      <c r="D26" s="27">
        <v>260</v>
      </c>
      <c r="E26" s="9"/>
      <c r="F26" s="8">
        <f>""</f>
      </c>
      <c r="G26" s="9"/>
      <c r="H26" s="10"/>
      <c r="I26" s="27">
        <v>260</v>
      </c>
      <c r="J26" s="11"/>
      <c r="K26" s="9"/>
      <c r="L26" s="8">
        <f>""</f>
      </c>
      <c r="M26" s="9"/>
      <c r="N26" s="8">
        <f>""</f>
      </c>
      <c r="O26" s="5"/>
    </row>
    <row r="27" spans="1:15" ht="36.75" customHeight="1">
      <c r="A27" s="7" t="s">
        <v>15</v>
      </c>
      <c r="B27" s="8" t="str">
        <f t="shared" si="0"/>
        <v>Округ №12 (№ 12)</v>
      </c>
      <c r="C27" s="8" t="str">
        <f>"Филатова Анастасия Викторовна"</f>
        <v>Филатова Анастасия Викторовна</v>
      </c>
      <c r="D27" s="27">
        <v>1000</v>
      </c>
      <c r="E27" s="9"/>
      <c r="F27" s="8">
        <f>""</f>
      </c>
      <c r="G27" s="9"/>
      <c r="H27" s="10"/>
      <c r="I27" s="27">
        <v>780</v>
      </c>
      <c r="J27" s="11"/>
      <c r="K27" s="9"/>
      <c r="L27" s="8">
        <f>""</f>
      </c>
      <c r="M27" s="9"/>
      <c r="N27" s="8">
        <f>""</f>
      </c>
      <c r="O27" s="5"/>
    </row>
    <row r="28" spans="1:15" ht="39.75" customHeight="1">
      <c r="A28" s="12" t="s">
        <v>7</v>
      </c>
      <c r="B28" s="13">
        <f>""</f>
      </c>
      <c r="C28" s="13" t="str">
        <f>"Избирательный округ № 12, всего"</f>
        <v>Избирательный округ № 12, всего</v>
      </c>
      <c r="D28" s="29">
        <f>SUM(D22:D27)</f>
        <v>201868</v>
      </c>
      <c r="E28" s="14">
        <v>0</v>
      </c>
      <c r="F28" s="13">
        <f>""</f>
      </c>
      <c r="G28" s="14">
        <v>0</v>
      </c>
      <c r="H28" s="15"/>
      <c r="I28" s="29">
        <f>SUM(I22:I27)</f>
        <v>23501</v>
      </c>
      <c r="J28" s="16"/>
      <c r="K28" s="14">
        <v>0</v>
      </c>
      <c r="L28" s="13">
        <f>""</f>
      </c>
      <c r="M28" s="14">
        <v>0</v>
      </c>
      <c r="N28" s="13">
        <f>""</f>
      </c>
      <c r="O28" s="5"/>
    </row>
    <row r="29" spans="1:15" ht="45" customHeight="1">
      <c r="A29" s="7" t="s">
        <v>16</v>
      </c>
      <c r="B29" s="8" t="str">
        <f>"Округ №13 (№ 13)"</f>
        <v>Округ №13 (№ 13)</v>
      </c>
      <c r="C29" s="8" t="str">
        <f>"Кондаков Николай Иванович"</f>
        <v>Кондаков Николай Иванович</v>
      </c>
      <c r="D29" s="27">
        <v>3000</v>
      </c>
      <c r="E29" s="9"/>
      <c r="F29" s="8">
        <f>""</f>
      </c>
      <c r="G29" s="9"/>
      <c r="H29" s="10"/>
      <c r="I29" s="27">
        <v>3000</v>
      </c>
      <c r="J29" s="11"/>
      <c r="K29" s="9"/>
      <c r="L29" s="8">
        <f>""</f>
      </c>
      <c r="M29" s="9"/>
      <c r="N29" s="8">
        <f>""</f>
      </c>
      <c r="O29" s="5"/>
    </row>
    <row r="30" spans="1:15" ht="45" customHeight="1">
      <c r="A30" s="7" t="s">
        <v>17</v>
      </c>
      <c r="B30" s="8" t="str">
        <f>"Округ №13 (№ 13)"</f>
        <v>Округ №13 (№ 13)</v>
      </c>
      <c r="C30" s="8" t="str">
        <f>"Меркушев Владимир Иванович"</f>
        <v>Меркушев Владимир Иванович</v>
      </c>
      <c r="D30" s="27">
        <v>1000</v>
      </c>
      <c r="E30" s="9"/>
      <c r="F30" s="8">
        <f>""</f>
      </c>
      <c r="G30" s="9"/>
      <c r="H30" s="10"/>
      <c r="I30" s="27">
        <v>500</v>
      </c>
      <c r="J30" s="11"/>
      <c r="K30" s="9"/>
      <c r="L30" s="8">
        <f>""</f>
      </c>
      <c r="M30" s="9"/>
      <c r="N30" s="8">
        <f>""</f>
      </c>
      <c r="O30" s="5"/>
    </row>
    <row r="31" spans="1:15" ht="42" customHeight="1">
      <c r="A31" s="12" t="s">
        <v>7</v>
      </c>
      <c r="B31" s="13">
        <f>""</f>
      </c>
      <c r="C31" s="13" t="str">
        <f>"Избирательный округ № 13, всего"</f>
        <v>Избирательный округ № 13, всего</v>
      </c>
      <c r="D31" s="29">
        <v>4000</v>
      </c>
      <c r="E31" s="14">
        <v>0</v>
      </c>
      <c r="F31" s="13">
        <f>""</f>
      </c>
      <c r="G31" s="14">
        <v>0</v>
      </c>
      <c r="H31" s="15"/>
      <c r="I31" s="29">
        <v>3500</v>
      </c>
      <c r="J31" s="16"/>
      <c r="K31" s="14">
        <v>0</v>
      </c>
      <c r="L31" s="13">
        <f>""</f>
      </c>
      <c r="M31" s="14">
        <v>0</v>
      </c>
      <c r="N31" s="13">
        <f>""</f>
      </c>
      <c r="O31" s="5"/>
    </row>
    <row r="32" spans="1:15" ht="45" customHeight="1">
      <c r="A32" s="7" t="s">
        <v>18</v>
      </c>
      <c r="B32" s="8" t="str">
        <f>"Округ №14 (№ 14)"</f>
        <v>Округ №14 (№ 14)</v>
      </c>
      <c r="C32" s="8" t="str">
        <f>"Слепов Максим Николаевич"</f>
        <v>Слепов Максим Николаевич</v>
      </c>
      <c r="D32" s="27">
        <v>200000</v>
      </c>
      <c r="E32" s="9"/>
      <c r="F32" s="8">
        <f>""</f>
      </c>
      <c r="G32" s="9"/>
      <c r="H32" s="10"/>
      <c r="I32" s="27">
        <v>1000</v>
      </c>
      <c r="J32" s="11"/>
      <c r="K32" s="9"/>
      <c r="L32" s="8">
        <f>""</f>
      </c>
      <c r="M32" s="9"/>
      <c r="N32" s="8">
        <f>""</f>
      </c>
      <c r="O32" s="5"/>
    </row>
    <row r="33" spans="1:15" s="24" customFormat="1" ht="45" customHeight="1">
      <c r="A33" s="20"/>
      <c r="B33" s="17"/>
      <c r="C33" s="17" t="str">
        <f>"Избирательный округ № 14, всего"</f>
        <v>Избирательный округ № 14, всего</v>
      </c>
      <c r="D33" s="28">
        <f>D32</f>
        <v>200000</v>
      </c>
      <c r="E33" s="18"/>
      <c r="F33" s="17"/>
      <c r="G33" s="18"/>
      <c r="H33" s="21"/>
      <c r="I33" s="28">
        <f>I32</f>
        <v>1000</v>
      </c>
      <c r="J33" s="22"/>
      <c r="K33" s="18"/>
      <c r="L33" s="17"/>
      <c r="M33" s="18"/>
      <c r="N33" s="17"/>
      <c r="O33" s="23"/>
    </row>
    <row r="34" spans="1:15" ht="45" customHeight="1">
      <c r="A34" s="7" t="s">
        <v>19</v>
      </c>
      <c r="B34" s="8" t="str">
        <f>"Округ №15 (№ 15)"</f>
        <v>Округ №15 (№ 15)</v>
      </c>
      <c r="C34" s="8" t="str">
        <f>"Лукьянчук Александр Валерьевич"</f>
        <v>Лукьянчук Александр Валерьевич</v>
      </c>
      <c r="D34" s="27">
        <v>5000</v>
      </c>
      <c r="E34" s="9"/>
      <c r="F34" s="8">
        <f>""</f>
      </c>
      <c r="G34" s="9"/>
      <c r="H34" s="10"/>
      <c r="I34" s="27">
        <v>260</v>
      </c>
      <c r="J34" s="11"/>
      <c r="K34" s="9"/>
      <c r="L34" s="8">
        <f>""</f>
      </c>
      <c r="M34" s="9"/>
      <c r="N34" s="8">
        <f>""</f>
      </c>
      <c r="O34" s="5"/>
    </row>
    <row r="35" spans="1:15" ht="42" customHeight="1">
      <c r="A35" s="7" t="s">
        <v>20</v>
      </c>
      <c r="B35" s="8" t="str">
        <f>"Округ №15 (№ 15)"</f>
        <v>Округ №15 (№ 15)</v>
      </c>
      <c r="C35" s="8" t="str">
        <f>"Маркин Дмитрий Александрович"</f>
        <v>Маркин Дмитрий Александрович</v>
      </c>
      <c r="D35" s="27">
        <v>100000</v>
      </c>
      <c r="E35" s="9"/>
      <c r="F35" s="8">
        <f>""</f>
      </c>
      <c r="G35" s="9"/>
      <c r="H35" s="10"/>
      <c r="I35" s="27">
        <v>35139</v>
      </c>
      <c r="J35" s="11"/>
      <c r="K35" s="9"/>
      <c r="L35" s="8">
        <f>""</f>
      </c>
      <c r="M35" s="9"/>
      <c r="N35" s="8">
        <f>""</f>
      </c>
      <c r="O35" s="5"/>
    </row>
    <row r="36" spans="1:15" ht="31.5" customHeight="1">
      <c r="A36" s="7" t="s">
        <v>21</v>
      </c>
      <c r="B36" s="8" t="str">
        <f>"Округ №15 (№ 15)"</f>
        <v>Округ №15 (№ 15)</v>
      </c>
      <c r="C36" s="8" t="str">
        <f>"Рылов Андрей Александрович"</f>
        <v>Рылов Андрей Александрович</v>
      </c>
      <c r="D36" s="27">
        <v>100</v>
      </c>
      <c r="E36" s="9"/>
      <c r="F36" s="8">
        <f>""</f>
      </c>
      <c r="G36" s="9"/>
      <c r="H36" s="10"/>
      <c r="I36" s="27">
        <v>50</v>
      </c>
      <c r="J36" s="11"/>
      <c r="K36" s="9"/>
      <c r="L36" s="8">
        <f>""</f>
      </c>
      <c r="M36" s="9"/>
      <c r="N36" s="8">
        <f>""</f>
      </c>
      <c r="O36" s="5"/>
    </row>
    <row r="37" spans="1:15" ht="29.25" customHeight="1">
      <c r="A37" s="7" t="s">
        <v>22</v>
      </c>
      <c r="B37" s="8" t="str">
        <f>"Округ №15 (№ 15)"</f>
        <v>Округ №15 (№ 15)</v>
      </c>
      <c r="C37" s="8" t="str">
        <f>"Рябов Сергей Викторович"</f>
        <v>Рябов Сергей Викторович</v>
      </c>
      <c r="D37" s="27">
        <v>1000</v>
      </c>
      <c r="E37" s="9"/>
      <c r="F37" s="8">
        <f>""</f>
      </c>
      <c r="G37" s="9"/>
      <c r="H37" s="10"/>
      <c r="I37" s="27">
        <v>1000</v>
      </c>
      <c r="J37" s="11"/>
      <c r="K37" s="9"/>
      <c r="L37" s="8">
        <f>""</f>
      </c>
      <c r="M37" s="9"/>
      <c r="N37" s="8">
        <f>""</f>
      </c>
      <c r="O37" s="5"/>
    </row>
    <row r="38" spans="1:15" ht="40.5" customHeight="1">
      <c r="A38" s="12" t="s">
        <v>7</v>
      </c>
      <c r="B38" s="13">
        <f>""</f>
      </c>
      <c r="C38" s="13" t="str">
        <f>"Избирательный округ № 15, всего"</f>
        <v>Избирательный округ № 15, всего</v>
      </c>
      <c r="D38" s="29">
        <f>SUM(D34:D37)</f>
        <v>106100</v>
      </c>
      <c r="E38" s="14">
        <v>0</v>
      </c>
      <c r="F38" s="13">
        <f>""</f>
      </c>
      <c r="G38" s="14">
        <v>0</v>
      </c>
      <c r="H38" s="15"/>
      <c r="I38" s="29">
        <f>SUM(I34:I37)</f>
        <v>36449</v>
      </c>
      <c r="J38" s="16"/>
      <c r="K38" s="14">
        <v>0</v>
      </c>
      <c r="L38" s="13">
        <f>""</f>
      </c>
      <c r="M38" s="14">
        <v>0</v>
      </c>
      <c r="N38" s="13">
        <f>""</f>
      </c>
      <c r="O38" s="5"/>
    </row>
    <row r="39" spans="1:15" ht="64.5" customHeight="1">
      <c r="A39" s="7" t="s">
        <v>23</v>
      </c>
      <c r="B39" s="8" t="str">
        <f>"Округ №16 (№ 16)"</f>
        <v>Округ №16 (№ 16)</v>
      </c>
      <c r="C39" s="8" t="str">
        <f>"Клишин Владимир Васильевич"</f>
        <v>Клишин Владимир Васильевич</v>
      </c>
      <c r="D39" s="27">
        <v>166000</v>
      </c>
      <c r="E39" s="9"/>
      <c r="F39" s="8">
        <f>""</f>
      </c>
      <c r="G39" s="9"/>
      <c r="H39" s="10"/>
      <c r="I39" s="27">
        <v>165588</v>
      </c>
      <c r="J39" s="11" t="s">
        <v>24</v>
      </c>
      <c r="K39" s="9">
        <v>93500</v>
      </c>
      <c r="L39" s="8" t="str">
        <f>"Израсходовано на предвыборную агитацию"</f>
        <v>Израсходовано на предвыборную агитацию</v>
      </c>
      <c r="M39" s="9"/>
      <c r="N39" s="8">
        <f>""</f>
      </c>
      <c r="O39" s="5"/>
    </row>
    <row r="40" spans="1:15" ht="42" customHeight="1">
      <c r="A40" s="7" t="s">
        <v>25</v>
      </c>
      <c r="B40" s="8" t="str">
        <f>"Округ №16 (№ 16)"</f>
        <v>Округ №16 (№ 16)</v>
      </c>
      <c r="C40" s="8" t="str">
        <f>"Панасенко Станислав Вячеславович"</f>
        <v>Панасенко Станислав Вячеславович</v>
      </c>
      <c r="D40" s="27">
        <v>201.6</v>
      </c>
      <c r="E40" s="9"/>
      <c r="F40" s="8">
        <f>""</f>
      </c>
      <c r="G40" s="9"/>
      <c r="H40" s="10"/>
      <c r="I40" s="27">
        <v>201.6</v>
      </c>
      <c r="J40" s="11"/>
      <c r="K40" s="9"/>
      <c r="L40" s="8">
        <f>""</f>
      </c>
      <c r="M40" s="9"/>
      <c r="N40" s="8">
        <f>""</f>
      </c>
      <c r="O40" s="2"/>
    </row>
    <row r="41" spans="1:15" ht="39" customHeight="1">
      <c r="A41" s="12" t="s">
        <v>7</v>
      </c>
      <c r="B41" s="13">
        <f>""</f>
      </c>
      <c r="C41" s="13" t="str">
        <f>"Избирательный округ № 16, всего"</f>
        <v>Избирательный округ № 16, всего</v>
      </c>
      <c r="D41" s="29">
        <v>166201.6</v>
      </c>
      <c r="E41" s="14">
        <v>0</v>
      </c>
      <c r="F41" s="13">
        <f>""</f>
      </c>
      <c r="G41" s="14">
        <v>0</v>
      </c>
      <c r="H41" s="15"/>
      <c r="I41" s="29">
        <v>165789.6</v>
      </c>
      <c r="J41" s="16"/>
      <c r="K41" s="14">
        <v>93500</v>
      </c>
      <c r="L41" s="13">
        <f>""</f>
      </c>
      <c r="M41" s="14">
        <v>0</v>
      </c>
      <c r="N41" s="13">
        <f>""</f>
      </c>
      <c r="O41" s="5"/>
    </row>
    <row r="42" spans="1:15" ht="45" customHeight="1">
      <c r="A42" s="7" t="s">
        <v>26</v>
      </c>
      <c r="B42" s="8" t="str">
        <f>"Округ №17 (№ 17)"</f>
        <v>Округ №17 (№ 17)</v>
      </c>
      <c r="C42" s="8" t="str">
        <f>"Богучарская Анастасия Эдуардовна"</f>
        <v>Богучарская Анастасия Эдуардовна</v>
      </c>
      <c r="D42" s="27">
        <v>201.6</v>
      </c>
      <c r="E42" s="9"/>
      <c r="F42" s="8">
        <f>""</f>
      </c>
      <c r="G42" s="9"/>
      <c r="H42" s="10"/>
      <c r="I42" s="27">
        <v>201.6</v>
      </c>
      <c r="J42" s="11"/>
      <c r="K42" s="9"/>
      <c r="L42" s="8">
        <f>""</f>
      </c>
      <c r="M42" s="9"/>
      <c r="N42" s="8">
        <f>""</f>
      </c>
      <c r="O42" s="5"/>
    </row>
    <row r="43" spans="1:15" ht="68.25" customHeight="1">
      <c r="A43" s="7" t="s">
        <v>27</v>
      </c>
      <c r="B43" s="8" t="str">
        <f>"Округ №17 (№ 17)"</f>
        <v>Округ №17 (№ 17)</v>
      </c>
      <c r="C43" s="8" t="str">
        <f>"Синенко Денис Викторович"</f>
        <v>Синенко Денис Викторович</v>
      </c>
      <c r="D43" s="27">
        <v>200000</v>
      </c>
      <c r="E43" s="9"/>
      <c r="F43" s="8">
        <f>""</f>
      </c>
      <c r="G43" s="9"/>
      <c r="H43" s="10"/>
      <c r="I43" s="27">
        <v>188416</v>
      </c>
      <c r="J43" s="11" t="s">
        <v>28</v>
      </c>
      <c r="K43" s="9">
        <v>110000</v>
      </c>
      <c r="L43" s="8" t="str">
        <f>"Израсходовано на предвыборную агитацию"</f>
        <v>Израсходовано на предвыборную агитацию</v>
      </c>
      <c r="M43" s="9"/>
      <c r="N43" s="8">
        <f>""</f>
      </c>
      <c r="O43" s="5"/>
    </row>
    <row r="44" spans="1:15" ht="39" customHeight="1">
      <c r="A44" s="12" t="s">
        <v>7</v>
      </c>
      <c r="B44" s="13">
        <f>""</f>
      </c>
      <c r="C44" s="13" t="str">
        <f>"Избирательный округ № 17, всего"</f>
        <v>Избирательный округ № 17, всего</v>
      </c>
      <c r="D44" s="29">
        <v>200201.6</v>
      </c>
      <c r="E44" s="14">
        <v>0</v>
      </c>
      <c r="F44" s="13">
        <f>""</f>
      </c>
      <c r="G44" s="14">
        <v>0</v>
      </c>
      <c r="H44" s="15"/>
      <c r="I44" s="29">
        <v>188617.6</v>
      </c>
      <c r="J44" s="16"/>
      <c r="K44" s="14">
        <v>110000</v>
      </c>
      <c r="L44" s="13">
        <f>""</f>
      </c>
      <c r="M44" s="14">
        <v>0</v>
      </c>
      <c r="N44" s="13">
        <f>""</f>
      </c>
      <c r="O44" s="2"/>
    </row>
    <row r="45" spans="1:15" ht="40.5" customHeight="1">
      <c r="A45" s="7" t="s">
        <v>29</v>
      </c>
      <c r="B45" s="8" t="str">
        <f>"Округ №18 (№ 18)"</f>
        <v>Округ №18 (№ 18)</v>
      </c>
      <c r="C45" s="8" t="str">
        <f>"Глуховский Давыд Александрович"</f>
        <v>Глуховский Давыд Александрович</v>
      </c>
      <c r="D45" s="27">
        <v>66193.1</v>
      </c>
      <c r="E45" s="9"/>
      <c r="F45" s="8">
        <f>""</f>
      </c>
      <c r="G45" s="9"/>
      <c r="H45" s="10"/>
      <c r="I45" s="27">
        <v>53681.6</v>
      </c>
      <c r="J45" s="11"/>
      <c r="K45" s="9"/>
      <c r="L45" s="8">
        <f>""</f>
      </c>
      <c r="M45" s="9"/>
      <c r="N45" s="8">
        <f>""</f>
      </c>
      <c r="O45" s="5"/>
    </row>
    <row r="46" spans="1:15" ht="45" customHeight="1">
      <c r="A46" s="7" t="s">
        <v>30</v>
      </c>
      <c r="B46" s="8" t="str">
        <f>"Округ №18 (№ 18)"</f>
        <v>Округ №18 (№ 18)</v>
      </c>
      <c r="C46" s="8" t="str">
        <f>"Зиновьев Никита Викторович"</f>
        <v>Зиновьев Никита Викторович</v>
      </c>
      <c r="D46" s="27">
        <v>118.63</v>
      </c>
      <c r="E46" s="9"/>
      <c r="F46" s="8">
        <f>""</f>
      </c>
      <c r="G46" s="9"/>
      <c r="H46" s="10"/>
      <c r="I46" s="27">
        <v>0</v>
      </c>
      <c r="J46" s="11"/>
      <c r="K46" s="9"/>
      <c r="L46" s="8">
        <f>""</f>
      </c>
      <c r="M46" s="9"/>
      <c r="N46" s="8">
        <f>""</f>
      </c>
      <c r="O46" s="5"/>
    </row>
    <row r="47" spans="1:15" ht="39" customHeight="1">
      <c r="A47" s="7" t="s">
        <v>31</v>
      </c>
      <c r="B47" s="8" t="str">
        <f>"Округ №18 (№ 18)"</f>
        <v>Округ №18 (№ 18)</v>
      </c>
      <c r="C47" s="8" t="str">
        <f>"Калиниченко Татьяна Викторовна"</f>
        <v>Калиниченко Татьяна Викторовна</v>
      </c>
      <c r="D47" s="27">
        <v>60000</v>
      </c>
      <c r="E47" s="9">
        <v>60000</v>
      </c>
      <c r="F47" s="8" t="str">
        <f>"ООО СФК Сурутгазстрой"</f>
        <v>ООО СФК Сурутгазстрой</v>
      </c>
      <c r="G47" s="9"/>
      <c r="H47" s="10"/>
      <c r="I47" s="27">
        <v>0</v>
      </c>
      <c r="J47" s="11"/>
      <c r="K47" s="9"/>
      <c r="L47" s="8">
        <f>""</f>
      </c>
      <c r="M47" s="9"/>
      <c r="N47" s="8">
        <f>""</f>
      </c>
      <c r="O47" s="5"/>
    </row>
    <row r="48" spans="1:15" ht="65.25" customHeight="1">
      <c r="A48" s="7" t="s">
        <v>32</v>
      </c>
      <c r="B48" s="8" t="str">
        <f>"Округ №18 (№ 18)"</f>
        <v>Округ №18 (№ 18)</v>
      </c>
      <c r="C48" s="8" t="str">
        <f>"Матвийчук Григорий Петрович"</f>
        <v>Матвийчук Григорий Петрович</v>
      </c>
      <c r="D48" s="27">
        <v>1000</v>
      </c>
      <c r="E48" s="9"/>
      <c r="F48" s="8">
        <f>""</f>
      </c>
      <c r="G48" s="9"/>
      <c r="H48" s="10"/>
      <c r="I48" s="27">
        <v>325</v>
      </c>
      <c r="J48" s="11"/>
      <c r="K48" s="9"/>
      <c r="L48" s="8">
        <f>""</f>
      </c>
      <c r="M48" s="9">
        <v>675</v>
      </c>
      <c r="N48" s="8" t="str">
        <f>"Возврат неизрасходованных денежных средств избирательного фонда кандидату"</f>
        <v>Возврат неизрасходованных денежных средств избирательного фонда кандидату</v>
      </c>
      <c r="O48" s="5"/>
    </row>
    <row r="49" spans="1:15" ht="40.5" customHeight="1">
      <c r="A49" s="7" t="s">
        <v>33</v>
      </c>
      <c r="B49" s="8" t="str">
        <f>"Округ №18 (№ 18)"</f>
        <v>Округ №18 (№ 18)</v>
      </c>
      <c r="C49" s="8" t="str">
        <f>"Юсупов Рустем Равилевич"</f>
        <v>Юсупов Рустем Равилевич</v>
      </c>
      <c r="D49" s="27">
        <v>5000</v>
      </c>
      <c r="E49" s="9"/>
      <c r="F49" s="8">
        <f>""</f>
      </c>
      <c r="G49" s="9"/>
      <c r="H49" s="10"/>
      <c r="I49" s="27">
        <v>300</v>
      </c>
      <c r="J49" s="11"/>
      <c r="K49" s="9"/>
      <c r="L49" s="8">
        <f>""</f>
      </c>
      <c r="M49" s="9"/>
      <c r="N49" s="8">
        <f>""</f>
      </c>
      <c r="O49" s="5"/>
    </row>
    <row r="50" spans="1:15" ht="42" customHeight="1">
      <c r="A50" s="12" t="s">
        <v>7</v>
      </c>
      <c r="B50" s="13">
        <f>""</f>
      </c>
      <c r="C50" s="13" t="str">
        <f>"Избирательный округ № 18, всего"</f>
        <v>Избирательный округ № 18, всего</v>
      </c>
      <c r="D50" s="29">
        <v>132311.73</v>
      </c>
      <c r="E50" s="14">
        <v>60000</v>
      </c>
      <c r="F50" s="13">
        <f>""</f>
      </c>
      <c r="G50" s="14">
        <v>0</v>
      </c>
      <c r="H50" s="15"/>
      <c r="I50" s="29">
        <v>54306.6</v>
      </c>
      <c r="J50" s="16"/>
      <c r="K50" s="14">
        <v>0</v>
      </c>
      <c r="L50" s="13">
        <f>""</f>
      </c>
      <c r="M50" s="14">
        <v>675</v>
      </c>
      <c r="N50" s="13">
        <f>""</f>
      </c>
      <c r="O50" s="5"/>
    </row>
    <row r="51" spans="1:15" ht="45" customHeight="1">
      <c r="A51" s="7" t="s">
        <v>34</v>
      </c>
      <c r="B51" s="8" t="str">
        <f>"Округ №19 (№ 19)"</f>
        <v>Округ №19 (№ 19)</v>
      </c>
      <c r="C51" s="8" t="str">
        <f>"Маркович Андрей Алексеевич"</f>
        <v>Маркович Андрей Алексеевич</v>
      </c>
      <c r="D51" s="27">
        <v>213.2</v>
      </c>
      <c r="E51" s="9"/>
      <c r="F51" s="8">
        <f>""</f>
      </c>
      <c r="G51" s="9"/>
      <c r="H51" s="10"/>
      <c r="I51" s="27">
        <v>95.94</v>
      </c>
      <c r="J51" s="11"/>
      <c r="K51" s="9"/>
      <c r="L51" s="8">
        <f>""</f>
      </c>
      <c r="M51" s="9"/>
      <c r="N51" s="8">
        <f>""</f>
      </c>
      <c r="O51" s="5"/>
    </row>
    <row r="52" spans="1:15" ht="45" customHeight="1">
      <c r="A52" s="7" t="s">
        <v>35</v>
      </c>
      <c r="B52" s="8" t="str">
        <f>"Округ №19 (№ 19)"</f>
        <v>Округ №19 (№ 19)</v>
      </c>
      <c r="C52" s="8" t="str">
        <f>"Миннуллин Ринат Сиреньевич"</f>
        <v>Миннуллин Ринат Сиреньевич</v>
      </c>
      <c r="D52" s="27">
        <v>8000</v>
      </c>
      <c r="E52" s="9"/>
      <c r="F52" s="8">
        <f>""</f>
      </c>
      <c r="G52" s="9"/>
      <c r="H52" s="10"/>
      <c r="I52" s="27">
        <v>550</v>
      </c>
      <c r="J52" s="11"/>
      <c r="K52" s="9"/>
      <c r="L52" s="8">
        <f>""</f>
      </c>
      <c r="M52" s="9"/>
      <c r="N52" s="8">
        <f>""</f>
      </c>
      <c r="O52" s="5"/>
    </row>
    <row r="53" spans="1:15" ht="40.5" customHeight="1">
      <c r="A53" s="12" t="s">
        <v>7</v>
      </c>
      <c r="B53" s="13">
        <f>""</f>
      </c>
      <c r="C53" s="13" t="str">
        <f>"Избирательный округ № 19, всего"</f>
        <v>Избирательный округ № 19, всего</v>
      </c>
      <c r="D53" s="29">
        <f>D51+D52</f>
        <v>8213.2</v>
      </c>
      <c r="E53" s="14">
        <v>0</v>
      </c>
      <c r="F53" s="13">
        <f>""</f>
      </c>
      <c r="G53" s="14">
        <v>0</v>
      </c>
      <c r="H53" s="15"/>
      <c r="I53" s="29">
        <f>I51+I52</f>
        <v>645.94</v>
      </c>
      <c r="J53" s="16"/>
      <c r="K53" s="14">
        <v>0</v>
      </c>
      <c r="L53" s="13">
        <f>""</f>
      </c>
      <c r="M53" s="14">
        <v>0</v>
      </c>
      <c r="N53" s="13">
        <f>""</f>
      </c>
      <c r="O53" s="5"/>
    </row>
    <row r="54" spans="1:15" ht="41.25" customHeight="1">
      <c r="A54" s="7" t="s">
        <v>36</v>
      </c>
      <c r="B54" s="8" t="str">
        <f>"Округ №2 (№ 2)"</f>
        <v>Округ №2 (№ 2)</v>
      </c>
      <c r="C54" s="8" t="str">
        <f>"Красноярова Надежда Александровна"</f>
        <v>Красноярова Надежда Александровна</v>
      </c>
      <c r="D54" s="27">
        <v>200000</v>
      </c>
      <c r="E54" s="9">
        <v>200000</v>
      </c>
      <c r="F54" s="8" t="str">
        <f>"ОПО ОАО ""Сургутнефтегаз"""</f>
        <v>ОПО ОАО "Сургутнефтегаз"</v>
      </c>
      <c r="G54" s="9"/>
      <c r="H54" s="10"/>
      <c r="I54" s="27">
        <v>0</v>
      </c>
      <c r="J54" s="11"/>
      <c r="K54" s="9"/>
      <c r="L54" s="8">
        <f>""</f>
      </c>
      <c r="M54" s="9"/>
      <c r="N54" s="8">
        <f>""</f>
      </c>
      <c r="O54" s="5"/>
    </row>
    <row r="55" spans="1:15" ht="41.25" customHeight="1">
      <c r="A55" s="31" t="s">
        <v>37</v>
      </c>
      <c r="B55" s="8" t="str">
        <f>"Округ №2 (№ 2)"</f>
        <v>Округ №2 (№ 2)</v>
      </c>
      <c r="C55" s="8" t="s">
        <v>74</v>
      </c>
      <c r="D55" s="27">
        <v>1000</v>
      </c>
      <c r="E55" s="9"/>
      <c r="F55" s="8"/>
      <c r="G55" s="9"/>
      <c r="H55" s="10"/>
      <c r="I55" s="27">
        <v>1000</v>
      </c>
      <c r="J55" s="11"/>
      <c r="K55" s="9"/>
      <c r="L55" s="8"/>
      <c r="M55" s="9"/>
      <c r="N55" s="8"/>
      <c r="O55" s="5"/>
    </row>
    <row r="56" spans="1:15" ht="42.75" customHeight="1">
      <c r="A56" s="31" t="s">
        <v>38</v>
      </c>
      <c r="B56" s="8" t="str">
        <f>"Округ №2 (№ 2)"</f>
        <v>Округ №2 (№ 2)</v>
      </c>
      <c r="C56" s="8" t="str">
        <f>"Микаилова Лейла Искандер Кызы"</f>
        <v>Микаилова Лейла Искандер Кызы</v>
      </c>
      <c r="D56" s="27">
        <v>108</v>
      </c>
      <c r="E56" s="9"/>
      <c r="F56" s="8">
        <f>""</f>
      </c>
      <c r="G56" s="9"/>
      <c r="H56" s="10"/>
      <c r="I56" s="27">
        <v>108</v>
      </c>
      <c r="J56" s="11"/>
      <c r="K56" s="9"/>
      <c r="L56" s="8">
        <f>""</f>
      </c>
      <c r="M56" s="9"/>
      <c r="N56" s="8">
        <f>""</f>
      </c>
      <c r="O56" s="5"/>
    </row>
    <row r="57" spans="1:15" ht="42.75" customHeight="1">
      <c r="A57" s="12" t="s">
        <v>7</v>
      </c>
      <c r="B57" s="13">
        <f>""</f>
      </c>
      <c r="C57" s="13" t="str">
        <f>"Избирательный округ№ 2, всего"</f>
        <v>Избирательный округ№ 2, всего</v>
      </c>
      <c r="D57" s="29">
        <f>D54+D55+D56</f>
        <v>201108</v>
      </c>
      <c r="E57" s="14">
        <v>200000</v>
      </c>
      <c r="F57" s="13">
        <f>""</f>
      </c>
      <c r="G57" s="14">
        <v>0</v>
      </c>
      <c r="H57" s="15"/>
      <c r="I57" s="29">
        <f>I55+I56</f>
        <v>1108</v>
      </c>
      <c r="J57" s="16"/>
      <c r="K57" s="14">
        <v>0</v>
      </c>
      <c r="L57" s="13">
        <f>""</f>
      </c>
      <c r="M57" s="14">
        <v>0</v>
      </c>
      <c r="N57" s="13">
        <f>""</f>
      </c>
      <c r="O57" s="5"/>
    </row>
    <row r="58" spans="1:15" ht="37.5" customHeight="1">
      <c r="A58" s="31" t="s">
        <v>39</v>
      </c>
      <c r="B58" s="8" t="str">
        <f>"Округ №20 (№ 20)"</f>
        <v>Округ №20 (№ 20)</v>
      </c>
      <c r="C58" s="8" t="str">
        <f>"Греченко Елена Владимировна"</f>
        <v>Греченко Елена Владимировна</v>
      </c>
      <c r="D58" s="27">
        <v>390</v>
      </c>
      <c r="E58" s="9"/>
      <c r="F58" s="8">
        <f>""</f>
      </c>
      <c r="G58" s="9"/>
      <c r="H58" s="10"/>
      <c r="I58" s="27">
        <v>390</v>
      </c>
      <c r="J58" s="11"/>
      <c r="K58" s="9"/>
      <c r="L58" s="8">
        <f>""</f>
      </c>
      <c r="M58" s="9"/>
      <c r="N58" s="8">
        <f>""</f>
      </c>
      <c r="O58" s="5"/>
    </row>
    <row r="59" spans="1:15" ht="45" customHeight="1">
      <c r="A59" s="31" t="s">
        <v>40</v>
      </c>
      <c r="B59" s="8" t="str">
        <f>"Округ №20 (№ 20)"</f>
        <v>Округ №20 (№ 20)</v>
      </c>
      <c r="C59" s="8" t="str">
        <f>"Птицын Василий Иванович"</f>
        <v>Птицын Василий Иванович</v>
      </c>
      <c r="D59" s="27">
        <v>30000</v>
      </c>
      <c r="E59" s="9">
        <v>30000</v>
      </c>
      <c r="F59" s="8" t="str">
        <f>"ООО СФК Сурутгазстрой"</f>
        <v>ООО СФК Сурутгазстрой</v>
      </c>
      <c r="G59" s="9"/>
      <c r="H59" s="10"/>
      <c r="I59" s="27">
        <v>0</v>
      </c>
      <c r="J59" s="11"/>
      <c r="K59" s="9"/>
      <c r="L59" s="8">
        <f>""</f>
      </c>
      <c r="M59" s="9"/>
      <c r="N59" s="8">
        <f>""</f>
      </c>
      <c r="O59" s="5"/>
    </row>
    <row r="60" spans="1:15" ht="45" customHeight="1">
      <c r="A60" s="31" t="s">
        <v>41</v>
      </c>
      <c r="B60" s="8" t="str">
        <f>"Округ №20 (№ 20)"</f>
        <v>Округ №20 (№ 20)</v>
      </c>
      <c r="C60" s="8" t="str">
        <f>"Трошкин Александр Борисович"</f>
        <v>Трошкин Александр Борисович</v>
      </c>
      <c r="D60" s="27">
        <v>100000</v>
      </c>
      <c r="E60" s="9"/>
      <c r="F60" s="8">
        <f>""</f>
      </c>
      <c r="G60" s="9"/>
      <c r="H60" s="10"/>
      <c r="I60" s="27">
        <v>0</v>
      </c>
      <c r="J60" s="11"/>
      <c r="K60" s="9"/>
      <c r="L60" s="8">
        <f>""</f>
      </c>
      <c r="M60" s="9"/>
      <c r="N60" s="8">
        <f>""</f>
      </c>
      <c r="O60" s="5"/>
    </row>
    <row r="61" spans="1:15" ht="42" customHeight="1">
      <c r="A61" s="31" t="s">
        <v>42</v>
      </c>
      <c r="B61" s="8" t="str">
        <f>"Округ №20 (№ 20)"</f>
        <v>Округ №20 (№ 20)</v>
      </c>
      <c r="C61" s="8" t="str">
        <f>"Щербаков Виталий Владимирович"</f>
        <v>Щербаков Виталий Владимирович</v>
      </c>
      <c r="D61" s="27">
        <v>1000</v>
      </c>
      <c r="E61" s="9"/>
      <c r="F61" s="8">
        <f>""</f>
      </c>
      <c r="G61" s="9"/>
      <c r="H61" s="10"/>
      <c r="I61" s="27">
        <v>780</v>
      </c>
      <c r="J61" s="11"/>
      <c r="K61" s="9"/>
      <c r="L61" s="8">
        <f>""</f>
      </c>
      <c r="M61" s="9"/>
      <c r="N61" s="8">
        <f>""</f>
      </c>
      <c r="O61" s="5"/>
    </row>
    <row r="62" spans="1:15" ht="37.5" customHeight="1">
      <c r="A62" s="12" t="s">
        <v>7</v>
      </c>
      <c r="B62" s="13">
        <f>""</f>
      </c>
      <c r="C62" s="13" t="str">
        <f>"Избирательный округ№ 20, всего"</f>
        <v>Избирательный округ№ 20, всего</v>
      </c>
      <c r="D62" s="29">
        <f>SUM(D58:D61)</f>
        <v>131390</v>
      </c>
      <c r="E62" s="14">
        <v>30000</v>
      </c>
      <c r="F62" s="13">
        <f>""</f>
      </c>
      <c r="G62" s="14">
        <v>0</v>
      </c>
      <c r="H62" s="15"/>
      <c r="I62" s="29">
        <v>1170</v>
      </c>
      <c r="J62" s="16"/>
      <c r="K62" s="14">
        <v>0</v>
      </c>
      <c r="L62" s="13">
        <f>""</f>
      </c>
      <c r="M62" s="14">
        <v>0</v>
      </c>
      <c r="N62" s="13">
        <f>""</f>
      </c>
      <c r="O62" s="5"/>
    </row>
    <row r="63" spans="1:15" ht="39.75" customHeight="1">
      <c r="A63" s="31" t="s">
        <v>43</v>
      </c>
      <c r="B63" s="8" t="str">
        <f>"Округ №21 (№ 21)"</f>
        <v>Округ №21 (№ 21)</v>
      </c>
      <c r="C63" s="8" t="str">
        <f>"Антропова Елена Александровна"</f>
        <v>Антропова Елена Александровна</v>
      </c>
      <c r="D63" s="27">
        <v>1000</v>
      </c>
      <c r="E63" s="9"/>
      <c r="F63" s="8">
        <f>""</f>
      </c>
      <c r="G63" s="9"/>
      <c r="H63" s="10"/>
      <c r="I63" s="27">
        <v>684</v>
      </c>
      <c r="J63" s="11"/>
      <c r="K63" s="9"/>
      <c r="L63" s="8">
        <f>""</f>
      </c>
      <c r="M63" s="9"/>
      <c r="N63" s="8">
        <f>""</f>
      </c>
      <c r="O63" s="5"/>
    </row>
    <row r="64" spans="1:15" ht="45" customHeight="1">
      <c r="A64" s="31" t="s">
        <v>44</v>
      </c>
      <c r="B64" s="8" t="str">
        <f>"Округ №21 (№ 21)"</f>
        <v>Округ №21 (№ 21)</v>
      </c>
      <c r="C64" s="8" t="str">
        <f>"Егорова Наталья Анатольевна"</f>
        <v>Егорова Наталья Анатольевна</v>
      </c>
      <c r="D64" s="27">
        <v>2000</v>
      </c>
      <c r="E64" s="9"/>
      <c r="F64" s="8">
        <f>""</f>
      </c>
      <c r="G64" s="9"/>
      <c r="H64" s="10"/>
      <c r="I64" s="27">
        <v>950</v>
      </c>
      <c r="J64" s="11"/>
      <c r="K64" s="9"/>
      <c r="L64" s="8">
        <f>""</f>
      </c>
      <c r="M64" s="9"/>
      <c r="N64" s="8">
        <f>""</f>
      </c>
      <c r="O64" s="5"/>
    </row>
    <row r="65" spans="1:15" ht="45" customHeight="1">
      <c r="A65" s="31" t="s">
        <v>45</v>
      </c>
      <c r="B65" s="8" t="str">
        <f>"Округ №21 (№ 21)"</f>
        <v>Округ №21 (№ 21)</v>
      </c>
      <c r="C65" s="8" t="str">
        <f>"Чубенко Вероника Львовна"</f>
        <v>Чубенко Вероника Львовна</v>
      </c>
      <c r="D65" s="27">
        <v>200000</v>
      </c>
      <c r="E65" s="9"/>
      <c r="F65" s="8">
        <f>""</f>
      </c>
      <c r="G65" s="9"/>
      <c r="H65" s="10"/>
      <c r="I65" s="27">
        <v>33707</v>
      </c>
      <c r="J65" s="11"/>
      <c r="K65" s="9"/>
      <c r="L65" s="8">
        <f>""</f>
      </c>
      <c r="M65" s="9"/>
      <c r="N65" s="8">
        <f>""</f>
      </c>
      <c r="O65" s="5"/>
    </row>
    <row r="66" spans="1:15" ht="40.5" customHeight="1">
      <c r="A66" s="12" t="s">
        <v>7</v>
      </c>
      <c r="B66" s="13">
        <f>""</f>
      </c>
      <c r="C66" s="13" t="str">
        <f>"Избирательный округ № 21, всего"</f>
        <v>Избирательный округ № 21, всего</v>
      </c>
      <c r="D66" s="29">
        <f>SUM(D63:D65)</f>
        <v>203000</v>
      </c>
      <c r="E66" s="14">
        <v>0</v>
      </c>
      <c r="F66" s="13">
        <f>""</f>
      </c>
      <c r="G66" s="14">
        <v>0</v>
      </c>
      <c r="H66" s="15"/>
      <c r="I66" s="29">
        <f>SUM(I63:I65)</f>
        <v>35341</v>
      </c>
      <c r="J66" s="16"/>
      <c r="K66" s="14">
        <v>0</v>
      </c>
      <c r="L66" s="13">
        <f>""</f>
      </c>
      <c r="M66" s="14">
        <v>0</v>
      </c>
      <c r="N66" s="13">
        <f>""</f>
      </c>
      <c r="O66" s="5"/>
    </row>
    <row r="67" spans="1:15" ht="30" customHeight="1">
      <c r="A67" s="31" t="s">
        <v>46</v>
      </c>
      <c r="B67" s="8" t="str">
        <f>"Округ №22 (№ 22)"</f>
        <v>Округ №22 (№ 22)</v>
      </c>
      <c r="C67" s="8" t="str">
        <f>"Барсов Евгений Вячеславович"</f>
        <v>Барсов Евгений Вячеславович</v>
      </c>
      <c r="D67" s="27">
        <v>200000</v>
      </c>
      <c r="E67" s="9"/>
      <c r="F67" s="8">
        <f>""</f>
      </c>
      <c r="G67" s="9"/>
      <c r="H67" s="10"/>
      <c r="I67" s="27">
        <v>38275</v>
      </c>
      <c r="J67" s="11"/>
      <c r="K67" s="9"/>
      <c r="L67" s="8">
        <f>""</f>
      </c>
      <c r="M67" s="9"/>
      <c r="N67" s="8">
        <f>""</f>
      </c>
      <c r="O67" s="5"/>
    </row>
    <row r="68" spans="1:15" ht="45" customHeight="1">
      <c r="A68" s="31" t="s">
        <v>47</v>
      </c>
      <c r="B68" s="8" t="str">
        <f>"Округ №22 (№ 22)"</f>
        <v>Округ №22 (№ 22)</v>
      </c>
      <c r="C68" s="8" t="str">
        <f>"Кочарян Армен Гургенович"</f>
        <v>Кочарян Армен Гургенович</v>
      </c>
      <c r="D68" s="27">
        <v>20000</v>
      </c>
      <c r="E68" s="9"/>
      <c r="F68" s="8">
        <f>""</f>
      </c>
      <c r="G68" s="9"/>
      <c r="H68" s="10"/>
      <c r="I68" s="27">
        <v>125</v>
      </c>
      <c r="J68" s="11"/>
      <c r="K68" s="9"/>
      <c r="L68" s="8">
        <f>""</f>
      </c>
      <c r="M68" s="9"/>
      <c r="N68" s="8">
        <f>""</f>
      </c>
      <c r="O68" s="5"/>
    </row>
    <row r="69" spans="1:15" ht="45" customHeight="1">
      <c r="A69" s="31" t="s">
        <v>48</v>
      </c>
      <c r="B69" s="8" t="str">
        <f>"Округ №22 (№ 22)"</f>
        <v>Округ №22 (№ 22)</v>
      </c>
      <c r="C69" s="8" t="str">
        <f>"Никитина Надежда Анатольевна"</f>
        <v>Никитина Надежда Анатольевна</v>
      </c>
      <c r="D69" s="27">
        <v>2000</v>
      </c>
      <c r="E69" s="9"/>
      <c r="F69" s="8">
        <f>""</f>
      </c>
      <c r="G69" s="9"/>
      <c r="H69" s="10"/>
      <c r="I69" s="27">
        <v>950</v>
      </c>
      <c r="J69" s="11"/>
      <c r="K69" s="9"/>
      <c r="L69" s="8">
        <f>""</f>
      </c>
      <c r="M69" s="9"/>
      <c r="N69" s="8">
        <f>""</f>
      </c>
      <c r="O69" s="5"/>
    </row>
    <row r="70" spans="1:15" ht="38.25" customHeight="1">
      <c r="A70" s="12" t="s">
        <v>7</v>
      </c>
      <c r="B70" s="13">
        <f>""</f>
      </c>
      <c r="C70" s="13" t="str">
        <f>"Избирательный округ № 22, всего"</f>
        <v>Избирательный округ № 22, всего</v>
      </c>
      <c r="D70" s="29">
        <f>SUM(D67:D69)</f>
        <v>222000</v>
      </c>
      <c r="E70" s="14">
        <v>0</v>
      </c>
      <c r="F70" s="13">
        <f>""</f>
      </c>
      <c r="G70" s="14">
        <v>0</v>
      </c>
      <c r="H70" s="15"/>
      <c r="I70" s="29">
        <f>SUM(I67:I69)</f>
        <v>39350</v>
      </c>
      <c r="J70" s="16"/>
      <c r="K70" s="14">
        <v>0</v>
      </c>
      <c r="L70" s="13">
        <f>""</f>
      </c>
      <c r="M70" s="14">
        <v>0</v>
      </c>
      <c r="N70" s="13">
        <f>""</f>
      </c>
      <c r="O70" s="5"/>
    </row>
    <row r="71" spans="1:15" ht="27.75" customHeight="1">
      <c r="A71" s="31" t="s">
        <v>49</v>
      </c>
      <c r="B71" s="8" t="str">
        <f>"Округ №23 (№ 23)"</f>
        <v>Округ №23 (№ 23)</v>
      </c>
      <c r="C71" s="8" t="str">
        <f>"Балу Римма Александровна"</f>
        <v>Балу Римма Александровна</v>
      </c>
      <c r="D71" s="27">
        <v>108</v>
      </c>
      <c r="E71" s="9"/>
      <c r="F71" s="8">
        <f>""</f>
      </c>
      <c r="G71" s="9"/>
      <c r="H71" s="10"/>
      <c r="I71" s="27">
        <v>108</v>
      </c>
      <c r="J71" s="11"/>
      <c r="K71" s="9"/>
      <c r="L71" s="8">
        <f>""</f>
      </c>
      <c r="M71" s="9"/>
      <c r="N71" s="8">
        <f>""</f>
      </c>
      <c r="O71" s="5"/>
    </row>
    <row r="72" spans="1:15" ht="143.25" customHeight="1">
      <c r="A72" s="31" t="s">
        <v>50</v>
      </c>
      <c r="B72" s="8" t="str">
        <f>"Округ №23 (№ 23)"</f>
        <v>Округ №23 (№ 23)</v>
      </c>
      <c r="C72" s="8" t="str">
        <f>"Пахотин Дмитрий Сергеевич"</f>
        <v>Пахотин Дмитрий Сергеевич</v>
      </c>
      <c r="D72" s="27">
        <v>150000</v>
      </c>
      <c r="E72" s="9"/>
      <c r="F72" s="8">
        <f>""</f>
      </c>
      <c r="G72" s="9"/>
      <c r="H72" s="10"/>
      <c r="I72" s="27">
        <v>116464</v>
      </c>
      <c r="J72" s="11" t="s">
        <v>28</v>
      </c>
      <c r="K72" s="9">
        <v>110000</v>
      </c>
      <c r="L72" s="8" t="str">
        <f>"Израсходовано на оплату других работ (услуг), выполненных юридическими лицами"</f>
        <v>Израсходовано на оплату других работ (услуг), выполненных юридическими лицами</v>
      </c>
      <c r="M72" s="9"/>
      <c r="N72" s="8">
        <f>""</f>
      </c>
      <c r="O72" s="5"/>
    </row>
    <row r="73" spans="1:15" ht="42.75" customHeight="1">
      <c r="A73" s="12" t="s">
        <v>7</v>
      </c>
      <c r="B73" s="13">
        <f>""</f>
      </c>
      <c r="C73" s="13" t="str">
        <f>"Избирательный округ № 23, всего"</f>
        <v>Избирательный округ № 23, всего</v>
      </c>
      <c r="D73" s="29">
        <v>150108</v>
      </c>
      <c r="E73" s="14">
        <v>0</v>
      </c>
      <c r="F73" s="13">
        <f>""</f>
      </c>
      <c r="G73" s="14">
        <v>0</v>
      </c>
      <c r="H73" s="15"/>
      <c r="I73" s="29">
        <v>116572</v>
      </c>
      <c r="J73" s="16"/>
      <c r="K73" s="14">
        <v>110000</v>
      </c>
      <c r="L73" s="13">
        <f>""</f>
      </c>
      <c r="M73" s="14">
        <v>0</v>
      </c>
      <c r="N73" s="13">
        <f>""</f>
      </c>
      <c r="O73" s="2"/>
    </row>
    <row r="74" spans="1:15" ht="32.25" customHeight="1">
      <c r="A74" s="31" t="s">
        <v>51</v>
      </c>
      <c r="B74" s="8" t="str">
        <f aca="true" t="shared" si="1" ref="B74:B79">"Округ №24 (№ 24)"</f>
        <v>Округ №24 (№ 24)</v>
      </c>
      <c r="C74" s="8" t="str">
        <f>"Гужва Богдан Николаевич"</f>
        <v>Гужва Богдан Николаевич</v>
      </c>
      <c r="D74" s="27">
        <v>3000</v>
      </c>
      <c r="E74" s="9"/>
      <c r="F74" s="8">
        <f>""</f>
      </c>
      <c r="G74" s="9"/>
      <c r="H74" s="10"/>
      <c r="I74" s="27">
        <v>2600</v>
      </c>
      <c r="J74" s="11"/>
      <c r="K74" s="9"/>
      <c r="L74" s="8">
        <f>""</f>
      </c>
      <c r="M74" s="9"/>
      <c r="N74" s="8">
        <f>""</f>
      </c>
      <c r="O74" s="5"/>
    </row>
    <row r="75" spans="1:15" ht="39.75" customHeight="1">
      <c r="A75" s="31" t="s">
        <v>52</v>
      </c>
      <c r="B75" s="8" t="str">
        <f t="shared" si="1"/>
        <v>Округ №24 (№ 24)</v>
      </c>
      <c r="C75" s="8" t="str">
        <f>"Ирдуганова Татьяна Александровна"</f>
        <v>Ирдуганова Татьяна Александровна</v>
      </c>
      <c r="D75" s="27">
        <v>108</v>
      </c>
      <c r="E75" s="9"/>
      <c r="F75" s="8">
        <f>""</f>
      </c>
      <c r="G75" s="9"/>
      <c r="H75" s="10"/>
      <c r="I75" s="27">
        <v>108</v>
      </c>
      <c r="J75" s="11"/>
      <c r="K75" s="9"/>
      <c r="L75" s="8">
        <f>""</f>
      </c>
      <c r="M75" s="9"/>
      <c r="N75" s="8">
        <f>""</f>
      </c>
      <c r="O75" s="5"/>
    </row>
    <row r="76" spans="1:15" ht="45" customHeight="1">
      <c r="A76" s="31" t="s">
        <v>53</v>
      </c>
      <c r="B76" s="8" t="str">
        <f t="shared" si="1"/>
        <v>Округ №24 (№ 24)</v>
      </c>
      <c r="C76" s="8" t="str">
        <f>"Криштанович Тарас Михайлович"</f>
        <v>Криштанович Тарас Михайлович</v>
      </c>
      <c r="D76" s="27">
        <v>10000</v>
      </c>
      <c r="E76" s="9"/>
      <c r="F76" s="8">
        <f>""</f>
      </c>
      <c r="G76" s="9"/>
      <c r="H76" s="10"/>
      <c r="I76" s="27">
        <v>9710</v>
      </c>
      <c r="J76" s="11"/>
      <c r="K76" s="9"/>
      <c r="L76" s="8">
        <f>""</f>
      </c>
      <c r="M76" s="9"/>
      <c r="N76" s="8">
        <f>""</f>
      </c>
      <c r="O76" s="5"/>
    </row>
    <row r="77" spans="1:15" ht="29.25" customHeight="1">
      <c r="A77" s="31" t="s">
        <v>54</v>
      </c>
      <c r="B77" s="8" t="str">
        <f t="shared" si="1"/>
        <v>Округ №24 (№ 24)</v>
      </c>
      <c r="C77" s="8" t="str">
        <f>"Рыбак Евгений Анатольевич"</f>
        <v>Рыбак Евгений Анатольевич</v>
      </c>
      <c r="D77" s="27">
        <v>20000</v>
      </c>
      <c r="E77" s="9"/>
      <c r="F77" s="8">
        <f>""</f>
      </c>
      <c r="G77" s="9"/>
      <c r="H77" s="10"/>
      <c r="I77" s="27">
        <v>1166</v>
      </c>
      <c r="J77" s="11"/>
      <c r="K77" s="9"/>
      <c r="L77" s="8">
        <f>""</f>
      </c>
      <c r="M77" s="9"/>
      <c r="N77" s="8">
        <f>""</f>
      </c>
      <c r="O77" s="5"/>
    </row>
    <row r="78" spans="1:15" ht="30.75" customHeight="1">
      <c r="A78" s="31" t="s">
        <v>55</v>
      </c>
      <c r="B78" s="8" t="str">
        <f t="shared" si="1"/>
        <v>Округ №24 (№ 24)</v>
      </c>
      <c r="C78" s="8" t="str">
        <f>"Рыбак Евгений Анатольевич"</f>
        <v>Рыбак Евгений Анатольевич</v>
      </c>
      <c r="D78" s="27">
        <v>3000</v>
      </c>
      <c r="E78" s="9"/>
      <c r="F78" s="8">
        <f>""</f>
      </c>
      <c r="G78" s="9"/>
      <c r="H78" s="10"/>
      <c r="I78" s="27">
        <v>260</v>
      </c>
      <c r="J78" s="11"/>
      <c r="K78" s="9"/>
      <c r="L78" s="8">
        <f>""</f>
      </c>
      <c r="M78" s="9"/>
      <c r="N78" s="8">
        <f>""</f>
      </c>
      <c r="O78" s="5"/>
    </row>
    <row r="79" spans="1:15" ht="66.75" customHeight="1">
      <c r="A79" s="31" t="s">
        <v>56</v>
      </c>
      <c r="B79" s="8" t="str">
        <f t="shared" si="1"/>
        <v>Округ №24 (№ 24)</v>
      </c>
      <c r="C79" s="8" t="str">
        <f>"Энгель Олег Алексеевич"</f>
        <v>Энгель Олег Алексеевич</v>
      </c>
      <c r="D79" s="27">
        <v>200000</v>
      </c>
      <c r="E79" s="9"/>
      <c r="F79" s="8">
        <f>""</f>
      </c>
      <c r="G79" s="9"/>
      <c r="H79" s="10"/>
      <c r="I79" s="27">
        <v>114290</v>
      </c>
      <c r="J79" s="11" t="s">
        <v>28</v>
      </c>
      <c r="K79" s="9">
        <v>110000</v>
      </c>
      <c r="L79" s="8" t="str">
        <f>"Израсходовано на предвыборную агитацию"</f>
        <v>Израсходовано на предвыборную агитацию</v>
      </c>
      <c r="M79" s="9"/>
      <c r="N79" s="8">
        <f>""</f>
      </c>
      <c r="O79" s="5"/>
    </row>
    <row r="80" spans="1:15" ht="40.5" customHeight="1">
      <c r="A80" s="12" t="s">
        <v>7</v>
      </c>
      <c r="B80" s="13">
        <f>""</f>
      </c>
      <c r="C80" s="13" t="str">
        <f>"Избирательный округ № 24, всего"</f>
        <v>Избирательный округ № 24, всего</v>
      </c>
      <c r="D80" s="29">
        <f>SUM(D74:D79)</f>
        <v>236108</v>
      </c>
      <c r="E80" s="14">
        <v>0</v>
      </c>
      <c r="F80" s="13">
        <f>""</f>
      </c>
      <c r="G80" s="14">
        <v>0</v>
      </c>
      <c r="H80" s="15"/>
      <c r="I80" s="29">
        <f>I74+I75+I76+I77+I78+I79</f>
        <v>128134</v>
      </c>
      <c r="J80" s="16"/>
      <c r="K80" s="14">
        <v>110000</v>
      </c>
      <c r="L80" s="13">
        <f>""</f>
      </c>
      <c r="M80" s="14">
        <v>0</v>
      </c>
      <c r="N80" s="13">
        <f>""</f>
      </c>
      <c r="O80" s="2"/>
    </row>
    <row r="81" spans="1:15" ht="45" customHeight="1">
      <c r="A81" s="31" t="s">
        <v>57</v>
      </c>
      <c r="B81" s="8" t="str">
        <f>"Округ №25 (№ 25)"</f>
        <v>Округ №25 (№ 25)</v>
      </c>
      <c r="C81" s="8" t="str">
        <f>"Абдуррахманов Вадим Анверович"</f>
        <v>Абдуррахманов Вадим Анверович</v>
      </c>
      <c r="D81" s="27">
        <v>90</v>
      </c>
      <c r="E81" s="9"/>
      <c r="F81" s="8">
        <f>""</f>
      </c>
      <c r="G81" s="9"/>
      <c r="H81" s="10"/>
      <c r="I81" s="27">
        <v>90</v>
      </c>
      <c r="J81" s="11"/>
      <c r="K81" s="9"/>
      <c r="L81" s="8">
        <f>""</f>
      </c>
      <c r="M81" s="9"/>
      <c r="N81" s="8">
        <f>""</f>
      </c>
      <c r="O81" s="5"/>
    </row>
    <row r="82" spans="1:15" ht="45" customHeight="1">
      <c r="A82" s="31" t="s">
        <v>58</v>
      </c>
      <c r="B82" s="8" t="str">
        <f>"Округ №25 (№ 25)"</f>
        <v>Округ №25 (№ 25)</v>
      </c>
      <c r="C82" s="8" t="str">
        <f>"Мигунов Александр Иванович"</f>
        <v>Мигунов Александр Иванович</v>
      </c>
      <c r="D82" s="27">
        <v>1717.26</v>
      </c>
      <c r="E82" s="9"/>
      <c r="F82" s="8">
        <f>""</f>
      </c>
      <c r="G82" s="9"/>
      <c r="H82" s="10"/>
      <c r="I82" s="27">
        <v>1717.26</v>
      </c>
      <c r="J82" s="11"/>
      <c r="K82" s="9"/>
      <c r="L82" s="8">
        <f>""</f>
      </c>
      <c r="M82" s="9"/>
      <c r="N82" s="8">
        <f>""</f>
      </c>
      <c r="O82" s="5"/>
    </row>
    <row r="83" spans="1:15" ht="40.5" customHeight="1">
      <c r="A83" s="12" t="s">
        <v>7</v>
      </c>
      <c r="B83" s="13">
        <f>""</f>
      </c>
      <c r="C83" s="13" t="str">
        <f>"Избирательный округ № 25, всего"</f>
        <v>Избирательный округ № 25, всего</v>
      </c>
      <c r="D83" s="29">
        <v>1807.26</v>
      </c>
      <c r="E83" s="14">
        <v>0</v>
      </c>
      <c r="F83" s="13">
        <f>""</f>
      </c>
      <c r="G83" s="14">
        <v>0</v>
      </c>
      <c r="H83" s="15"/>
      <c r="I83" s="29">
        <v>1807.26</v>
      </c>
      <c r="J83" s="16"/>
      <c r="K83" s="14">
        <v>0</v>
      </c>
      <c r="L83" s="13">
        <f>""</f>
      </c>
      <c r="M83" s="14">
        <v>0</v>
      </c>
      <c r="N83" s="13">
        <f>""</f>
      </c>
      <c r="O83" s="5"/>
    </row>
    <row r="84" spans="1:15" ht="45" customHeight="1">
      <c r="A84" s="31" t="s">
        <v>59</v>
      </c>
      <c r="B84" s="8" t="str">
        <f>"Округ №3 (№ 3)"</f>
        <v>Округ №3 (№ 3)</v>
      </c>
      <c r="C84" s="8" t="str">
        <f>"Бондаренко Сергей Афанасьевич"</f>
        <v>Бондаренко Сергей Афанасьевич</v>
      </c>
      <c r="D84" s="27">
        <v>200000</v>
      </c>
      <c r="E84" s="9">
        <v>200000</v>
      </c>
      <c r="F84" s="8" t="str">
        <f>"ОПО ОАО ""Сургутнефтегаз"""</f>
        <v>ОПО ОАО "Сургутнефтегаз"</v>
      </c>
      <c r="G84" s="9"/>
      <c r="H84" s="10"/>
      <c r="I84" s="27">
        <v>0</v>
      </c>
      <c r="J84" s="11"/>
      <c r="K84" s="9"/>
      <c r="L84" s="8">
        <f>""</f>
      </c>
      <c r="M84" s="9"/>
      <c r="N84" s="8">
        <f>""</f>
      </c>
      <c r="O84" s="5"/>
    </row>
    <row r="85" spans="1:15" ht="45" customHeight="1">
      <c r="A85" s="31" t="s">
        <v>60</v>
      </c>
      <c r="B85" s="8" t="str">
        <f>"Округ №3 (№ 3)"</f>
        <v>Округ №3 (№ 3)</v>
      </c>
      <c r="C85" s="8" t="str">
        <f>"Иваницкий Эдуард Юрьевич"</f>
        <v>Иваницкий Эдуард Юрьевич</v>
      </c>
      <c r="D85" s="27">
        <v>5000</v>
      </c>
      <c r="E85" s="9"/>
      <c r="F85" s="8">
        <f>""</f>
      </c>
      <c r="G85" s="9"/>
      <c r="H85" s="10"/>
      <c r="I85" s="27">
        <v>1166</v>
      </c>
      <c r="J85" s="11"/>
      <c r="K85" s="9"/>
      <c r="L85" s="8">
        <f>""</f>
      </c>
      <c r="M85" s="9"/>
      <c r="N85" s="8">
        <f>""</f>
      </c>
      <c r="O85" s="5"/>
    </row>
    <row r="86" spans="1:15" ht="45" customHeight="1">
      <c r="A86" s="7"/>
      <c r="B86" s="8" t="str">
        <f>"Округ №3 (№ 3)"</f>
        <v>Округ №3 (№ 3)</v>
      </c>
      <c r="C86" s="8" t="s">
        <v>75</v>
      </c>
      <c r="D86" s="27">
        <v>1000</v>
      </c>
      <c r="E86" s="9"/>
      <c r="F86" s="8"/>
      <c r="G86" s="9"/>
      <c r="H86" s="10"/>
      <c r="I86" s="27">
        <v>1000</v>
      </c>
      <c r="J86" s="11"/>
      <c r="K86" s="9"/>
      <c r="L86" s="8"/>
      <c r="M86" s="9"/>
      <c r="N86" s="8"/>
      <c r="O86" s="5"/>
    </row>
    <row r="87" spans="1:15" ht="45" customHeight="1">
      <c r="A87" s="31" t="s">
        <v>61</v>
      </c>
      <c r="B87" s="8" t="str">
        <f>"Округ №3 (№ 3)"</f>
        <v>Округ №3 (№ 3)</v>
      </c>
      <c r="C87" s="8" t="str">
        <f>"Северчуков Роман Геннадьевич"</f>
        <v>Северчуков Роман Геннадьевич</v>
      </c>
      <c r="D87" s="27">
        <v>1000</v>
      </c>
      <c r="E87" s="9"/>
      <c r="F87" s="8">
        <f>""</f>
      </c>
      <c r="G87" s="9"/>
      <c r="H87" s="10"/>
      <c r="I87" s="27">
        <v>0</v>
      </c>
      <c r="J87" s="11"/>
      <c r="K87" s="9"/>
      <c r="L87" s="8">
        <f>""</f>
      </c>
      <c r="M87" s="9"/>
      <c r="N87" s="8">
        <f>""</f>
      </c>
      <c r="O87" s="5"/>
    </row>
    <row r="88" spans="1:15" ht="39.75" customHeight="1">
      <c r="A88" s="12" t="s">
        <v>7</v>
      </c>
      <c r="B88" s="13">
        <f>""</f>
      </c>
      <c r="C88" s="13" t="str">
        <f>"Избирательный округ № 3, всего"</f>
        <v>Избирательный округ № 3, всего</v>
      </c>
      <c r="D88" s="29">
        <f>D84+D85+D86+D87</f>
        <v>207000</v>
      </c>
      <c r="E88" s="14">
        <f>E84+E85+E86+E87</f>
        <v>200000</v>
      </c>
      <c r="F88" s="14"/>
      <c r="G88" s="14">
        <f>G84+G85+G86+G87</f>
        <v>0</v>
      </c>
      <c r="H88" s="14">
        <f>H84+H85+H86+H87</f>
        <v>0</v>
      </c>
      <c r="I88" s="29">
        <f>I84+I85+I86+I87</f>
        <v>2166</v>
      </c>
      <c r="J88" s="16"/>
      <c r="K88" s="14">
        <v>0</v>
      </c>
      <c r="L88" s="13">
        <f>""</f>
      </c>
      <c r="M88" s="14">
        <v>0</v>
      </c>
      <c r="N88" s="13">
        <f>""</f>
      </c>
      <c r="O88" s="5"/>
    </row>
    <row r="89" spans="1:15" ht="45" customHeight="1">
      <c r="A89" s="31" t="s">
        <v>62</v>
      </c>
      <c r="B89" s="8" t="str">
        <f>"Округ №4 (№ 4)"</f>
        <v>Округ №4 (№ 4)</v>
      </c>
      <c r="C89" s="8" t="str">
        <f>"Рогулин Владимир Иванович"</f>
        <v>Рогулин Владимир Иванович</v>
      </c>
      <c r="D89" s="27">
        <v>200000</v>
      </c>
      <c r="E89" s="9">
        <v>200000</v>
      </c>
      <c r="F89" s="8" t="str">
        <f>"ОПО ОАО ""Сургутнефтегаз"""</f>
        <v>ОПО ОАО "Сургутнефтегаз"</v>
      </c>
      <c r="G89" s="9"/>
      <c r="H89" s="10"/>
      <c r="I89" s="27">
        <v>0</v>
      </c>
      <c r="J89" s="11"/>
      <c r="K89" s="9"/>
      <c r="L89" s="8">
        <f>""</f>
      </c>
      <c r="M89" s="9"/>
      <c r="N89" s="8">
        <f>""</f>
      </c>
      <c r="O89" s="5"/>
    </row>
    <row r="90" spans="1:15" ht="28.5" customHeight="1">
      <c r="A90" s="31" t="s">
        <v>63</v>
      </c>
      <c r="B90" s="8" t="str">
        <f>"Округ №4 (№ 4)"</f>
        <v>Округ №4 (№ 4)</v>
      </c>
      <c r="C90" s="8" t="str">
        <f>"Шитова Галина Петровна"</f>
        <v>Шитова Галина Петровна</v>
      </c>
      <c r="D90" s="27">
        <v>500</v>
      </c>
      <c r="E90" s="9"/>
      <c r="F90" s="8">
        <f>""</f>
      </c>
      <c r="G90" s="9"/>
      <c r="H90" s="10"/>
      <c r="I90" s="27">
        <v>500</v>
      </c>
      <c r="J90" s="11"/>
      <c r="K90" s="9"/>
      <c r="L90" s="8">
        <f>""</f>
      </c>
      <c r="M90" s="9"/>
      <c r="N90" s="8">
        <f>""</f>
      </c>
      <c r="O90" s="5"/>
    </row>
    <row r="91" spans="1:15" ht="40.5" customHeight="1">
      <c r="A91" s="12" t="s">
        <v>7</v>
      </c>
      <c r="B91" s="13">
        <f>""</f>
      </c>
      <c r="C91" s="13" t="str">
        <f>"Избирательный округ № 4, всего"</f>
        <v>Избирательный округ № 4, всего</v>
      </c>
      <c r="D91" s="29">
        <v>200500</v>
      </c>
      <c r="E91" s="14">
        <v>200000</v>
      </c>
      <c r="F91" s="13">
        <f>""</f>
      </c>
      <c r="G91" s="14">
        <v>0</v>
      </c>
      <c r="H91" s="15"/>
      <c r="I91" s="29">
        <f>I90</f>
        <v>500</v>
      </c>
      <c r="J91" s="16"/>
      <c r="K91" s="14">
        <v>0</v>
      </c>
      <c r="L91" s="13">
        <f>""</f>
      </c>
      <c r="M91" s="14">
        <v>0</v>
      </c>
      <c r="N91" s="13">
        <f>""</f>
      </c>
      <c r="O91" s="5"/>
    </row>
    <row r="92" spans="1:15" ht="40.5" customHeight="1">
      <c r="A92" s="32" t="s">
        <v>64</v>
      </c>
      <c r="B92" s="19" t="str">
        <f>"Округ №5 (№ 5)"</f>
        <v>Округ №5 (№ 5)</v>
      </c>
      <c r="C92" s="19" t="s">
        <v>76</v>
      </c>
      <c r="D92" s="30">
        <v>1000</v>
      </c>
      <c r="E92" s="14"/>
      <c r="F92" s="13"/>
      <c r="G92" s="14"/>
      <c r="H92" s="15"/>
      <c r="I92" s="30">
        <v>1000</v>
      </c>
      <c r="J92" s="16"/>
      <c r="K92" s="14"/>
      <c r="L92" s="13"/>
      <c r="M92" s="14"/>
      <c r="N92" s="13"/>
      <c r="O92" s="5"/>
    </row>
    <row r="93" spans="1:15" ht="45" customHeight="1">
      <c r="A93" s="31" t="s">
        <v>65</v>
      </c>
      <c r="B93" s="8" t="str">
        <f>"Округ №5 (№ 5)"</f>
        <v>Округ №5 (№ 5)</v>
      </c>
      <c r="C93" s="8" t="str">
        <f>"Кириленко Артём Михайлович"</f>
        <v>Кириленко Артём Михайлович</v>
      </c>
      <c r="D93" s="27">
        <v>200000</v>
      </c>
      <c r="E93" s="9">
        <v>200000</v>
      </c>
      <c r="F93" s="8" t="str">
        <f>"ОПО ОАО ""Сургутнефтегаз"""</f>
        <v>ОПО ОАО "Сургутнефтегаз"</v>
      </c>
      <c r="G93" s="9"/>
      <c r="H93" s="10"/>
      <c r="I93" s="27">
        <v>0</v>
      </c>
      <c r="J93" s="11"/>
      <c r="K93" s="9"/>
      <c r="L93" s="8">
        <f>""</f>
      </c>
      <c r="M93" s="9"/>
      <c r="N93" s="8">
        <f>""</f>
      </c>
      <c r="O93" s="5"/>
    </row>
    <row r="94" spans="1:15" ht="45" customHeight="1">
      <c r="A94" s="7"/>
      <c r="B94" s="8"/>
      <c r="C94" s="17" t="str">
        <f>"Избирательный округ № 5, всего"</f>
        <v>Избирательный округ № 5, всего</v>
      </c>
      <c r="D94" s="28">
        <f>D92+D93</f>
        <v>201000</v>
      </c>
      <c r="E94" s="18">
        <f>E92+E93</f>
        <v>200000</v>
      </c>
      <c r="F94" s="18"/>
      <c r="G94" s="18">
        <f>G92+G93</f>
        <v>0</v>
      </c>
      <c r="H94" s="18">
        <f>H92+H93</f>
        <v>0</v>
      </c>
      <c r="I94" s="28">
        <f>I92+I93</f>
        <v>1000</v>
      </c>
      <c r="J94" s="11"/>
      <c r="K94" s="9"/>
      <c r="L94" s="8"/>
      <c r="M94" s="9"/>
      <c r="N94" s="8"/>
      <c r="O94" s="5"/>
    </row>
    <row r="95" spans="1:15" ht="45" customHeight="1">
      <c r="A95" s="31" t="s">
        <v>66</v>
      </c>
      <c r="B95" s="8" t="str">
        <f>"Округ №6 (№ 6)"</f>
        <v>Округ №6 (№ 6)</v>
      </c>
      <c r="C95" s="8" t="str">
        <f>"Кочетов Сергей Юрьевич"</f>
        <v>Кочетов Сергей Юрьевич</v>
      </c>
      <c r="D95" s="27">
        <v>1000</v>
      </c>
      <c r="E95" s="9"/>
      <c r="F95" s="8">
        <f>""</f>
      </c>
      <c r="G95" s="9"/>
      <c r="H95" s="10"/>
      <c r="I95" s="27">
        <v>300</v>
      </c>
      <c r="J95" s="11"/>
      <c r="K95" s="9"/>
      <c r="L95" s="8">
        <f>""</f>
      </c>
      <c r="M95" s="9"/>
      <c r="N95" s="8">
        <f>""</f>
      </c>
      <c r="O95" s="5"/>
    </row>
    <row r="96" spans="1:15" s="24" customFormat="1" ht="45" customHeight="1">
      <c r="A96" s="20"/>
      <c r="B96" s="17"/>
      <c r="C96" s="17" t="str">
        <f>"Избирательный округ № 6, всего"</f>
        <v>Избирательный округ № 6, всего</v>
      </c>
      <c r="D96" s="28">
        <f>D95</f>
        <v>1000</v>
      </c>
      <c r="E96" s="18"/>
      <c r="F96" s="17"/>
      <c r="G96" s="18"/>
      <c r="H96" s="21"/>
      <c r="I96" s="28">
        <f>I95</f>
        <v>300</v>
      </c>
      <c r="J96" s="22"/>
      <c r="K96" s="18"/>
      <c r="L96" s="17"/>
      <c r="M96" s="18"/>
      <c r="N96" s="17"/>
      <c r="O96" s="23"/>
    </row>
    <row r="97" spans="1:15" ht="39" customHeight="1">
      <c r="A97" s="31" t="s">
        <v>67</v>
      </c>
      <c r="B97" s="8" t="str">
        <f>"Округ №7 (№ 7)"</f>
        <v>Округ №7 (№ 7)</v>
      </c>
      <c r="C97" s="8" t="str">
        <f>"Бикеева Рамиля Гильмановна"</f>
        <v>Бикеева Рамиля Гильмановна</v>
      </c>
      <c r="D97" s="27">
        <v>8000</v>
      </c>
      <c r="E97" s="9"/>
      <c r="F97" s="8">
        <f>""</f>
      </c>
      <c r="G97" s="9"/>
      <c r="H97" s="10"/>
      <c r="I97" s="27">
        <v>100.8</v>
      </c>
      <c r="J97" s="11"/>
      <c r="K97" s="9"/>
      <c r="L97" s="8">
        <f>""</f>
      </c>
      <c r="M97" s="9"/>
      <c r="N97" s="8">
        <f>""</f>
      </c>
      <c r="O97" s="5"/>
    </row>
    <row r="98" spans="1:15" ht="45" customHeight="1">
      <c r="A98" s="31" t="s">
        <v>68</v>
      </c>
      <c r="B98" s="8" t="str">
        <f>"Округ №7 (№ 7)"</f>
        <v>Округ №7 (№ 7)</v>
      </c>
      <c r="C98" s="8" t="str">
        <f>"Голодюк Валерий Иванович"</f>
        <v>Голодюк Валерий Иванович</v>
      </c>
      <c r="D98" s="27">
        <v>200000</v>
      </c>
      <c r="E98" s="9">
        <v>200000</v>
      </c>
      <c r="F98" s="8" t="str">
        <f>"ОПО ОАО ""Сургутнефтегаз"""</f>
        <v>ОПО ОАО "Сургутнефтегаз"</v>
      </c>
      <c r="G98" s="9"/>
      <c r="H98" s="10"/>
      <c r="I98" s="27">
        <v>0</v>
      </c>
      <c r="J98" s="11"/>
      <c r="K98" s="9"/>
      <c r="L98" s="8">
        <f>""</f>
      </c>
      <c r="M98" s="9"/>
      <c r="N98" s="8">
        <f>""</f>
      </c>
      <c r="O98" s="5"/>
    </row>
    <row r="99" spans="1:15" ht="45" customHeight="1">
      <c r="A99" s="31" t="s">
        <v>69</v>
      </c>
      <c r="B99" s="8" t="str">
        <f>"Округ №7 (№ 7)"</f>
        <v>Округ №7 (№ 7)</v>
      </c>
      <c r="C99" s="8" t="str">
        <f>"Мукминов Фархат Фиргатович"</f>
        <v>Мукминов Фархат Фиргатович</v>
      </c>
      <c r="D99" s="27">
        <v>1000</v>
      </c>
      <c r="E99" s="9"/>
      <c r="F99" s="8">
        <f>""</f>
      </c>
      <c r="G99" s="9"/>
      <c r="H99" s="10"/>
      <c r="I99" s="27">
        <v>1000</v>
      </c>
      <c r="J99" s="11"/>
      <c r="K99" s="9"/>
      <c r="L99" s="8">
        <f>""</f>
      </c>
      <c r="M99" s="9"/>
      <c r="N99" s="8">
        <f>""</f>
      </c>
      <c r="O99" s="5"/>
    </row>
    <row r="100" spans="1:15" ht="39.75" customHeight="1">
      <c r="A100" s="12" t="s">
        <v>7</v>
      </c>
      <c r="B100" s="13">
        <f>""</f>
      </c>
      <c r="C100" s="13" t="str">
        <f>"Избирательный округ № 7, всего"</f>
        <v>Избирательный округ № 7, всего</v>
      </c>
      <c r="D100" s="29">
        <f>D97+D98+D99</f>
        <v>209000</v>
      </c>
      <c r="E100" s="14">
        <v>200000</v>
      </c>
      <c r="F100" s="13">
        <f>""</f>
      </c>
      <c r="G100" s="14">
        <v>0</v>
      </c>
      <c r="H100" s="15"/>
      <c r="I100" s="29">
        <f>I97+I98+I99</f>
        <v>1100.8</v>
      </c>
      <c r="J100" s="16"/>
      <c r="K100" s="14">
        <v>0</v>
      </c>
      <c r="L100" s="13">
        <f>""</f>
      </c>
      <c r="M100" s="14">
        <v>0</v>
      </c>
      <c r="N100" s="13">
        <f>""</f>
      </c>
      <c r="O100" s="5"/>
    </row>
    <row r="101" spans="1:15" ht="45" customHeight="1">
      <c r="A101" s="31" t="s">
        <v>70</v>
      </c>
      <c r="B101" s="8" t="str">
        <f>"Округ №8 (№ 8)"</f>
        <v>Округ №8 (№ 8)</v>
      </c>
      <c r="C101" s="8" t="str">
        <f>"Алексеев Александр Павлович"</f>
        <v>Алексеев Александр Павлович</v>
      </c>
      <c r="D101" s="27">
        <v>201000</v>
      </c>
      <c r="E101" s="9">
        <v>200000</v>
      </c>
      <c r="F101" s="8" t="str">
        <f>"ОПО ОАО ""Сургутнефтегаз"""</f>
        <v>ОПО ОАО "Сургутнефтегаз"</v>
      </c>
      <c r="G101" s="9"/>
      <c r="H101" s="10"/>
      <c r="I101" s="27">
        <v>1000</v>
      </c>
      <c r="J101" s="11"/>
      <c r="K101" s="9"/>
      <c r="L101" s="8">
        <f>""</f>
      </c>
      <c r="M101" s="9"/>
      <c r="N101" s="8">
        <f>""</f>
      </c>
      <c r="O101" s="5"/>
    </row>
    <row r="102" spans="1:15" ht="45" customHeight="1">
      <c r="A102" s="31" t="s">
        <v>71</v>
      </c>
      <c r="B102" s="8" t="str">
        <f>"Округ №8 (№ 8)"</f>
        <v>Округ №8 (№ 8)</v>
      </c>
      <c r="C102" s="8" t="str">
        <f>"Городилова Наталья Олеговна"</f>
        <v>Городилова Наталья Олеговна</v>
      </c>
      <c r="D102" s="27">
        <v>100</v>
      </c>
      <c r="E102" s="9"/>
      <c r="F102" s="8">
        <f>""</f>
      </c>
      <c r="G102" s="9"/>
      <c r="H102" s="10"/>
      <c r="I102" s="27">
        <v>50</v>
      </c>
      <c r="J102" s="11"/>
      <c r="K102" s="9"/>
      <c r="L102" s="8">
        <f>""</f>
      </c>
      <c r="M102" s="9"/>
      <c r="N102" s="8">
        <f>""</f>
      </c>
      <c r="O102" s="5"/>
    </row>
    <row r="103" spans="1:15" ht="37.5" customHeight="1">
      <c r="A103" s="12" t="s">
        <v>7</v>
      </c>
      <c r="B103" s="13">
        <f>""</f>
      </c>
      <c r="C103" s="13" t="str">
        <f>"Избирательный округ № 8, всего"</f>
        <v>Избирательный округ № 8, всего</v>
      </c>
      <c r="D103" s="29">
        <f>D101+D102</f>
        <v>201100</v>
      </c>
      <c r="E103" s="14">
        <v>200000</v>
      </c>
      <c r="F103" s="13">
        <f>""</f>
      </c>
      <c r="G103" s="14">
        <v>0</v>
      </c>
      <c r="H103" s="15"/>
      <c r="I103" s="29">
        <f>I101+I102</f>
        <v>1050</v>
      </c>
      <c r="J103" s="16"/>
      <c r="K103" s="14">
        <v>0</v>
      </c>
      <c r="L103" s="13">
        <f>""</f>
      </c>
      <c r="M103" s="14">
        <v>0</v>
      </c>
      <c r="N103" s="13">
        <f>""</f>
      </c>
      <c r="O103" s="5"/>
    </row>
    <row r="104" spans="1:15" ht="30" customHeight="1">
      <c r="A104" s="31" t="s">
        <v>77</v>
      </c>
      <c r="B104" s="8" t="str">
        <f>"Округ №9 (№ 9)"</f>
        <v>Округ №9 (№ 9)</v>
      </c>
      <c r="C104" s="8" t="str">
        <f>"Дутов Артем Николаевич"</f>
        <v>Дутов Артем Николаевич</v>
      </c>
      <c r="D104" s="27">
        <v>201.6</v>
      </c>
      <c r="E104" s="9"/>
      <c r="F104" s="8">
        <f>""</f>
      </c>
      <c r="G104" s="9"/>
      <c r="H104" s="10"/>
      <c r="I104" s="27">
        <v>201.6</v>
      </c>
      <c r="J104" s="11"/>
      <c r="K104" s="9"/>
      <c r="L104" s="8">
        <f>""</f>
      </c>
      <c r="M104" s="9"/>
      <c r="N104" s="8">
        <f>""</f>
      </c>
      <c r="O104" s="5"/>
    </row>
    <row r="105" spans="1:15" ht="66" customHeight="1">
      <c r="A105" s="31" t="s">
        <v>78</v>
      </c>
      <c r="B105" s="8" t="str">
        <f>"Округ №9 (№ 9)"</f>
        <v>Округ №9 (№ 9)</v>
      </c>
      <c r="C105" s="8" t="str">
        <f>"Макеев Сергей Федорович"</f>
        <v>Макеев Сергей Федорович</v>
      </c>
      <c r="D105" s="27">
        <v>200000</v>
      </c>
      <c r="E105" s="9"/>
      <c r="F105" s="8">
        <f>""</f>
      </c>
      <c r="G105" s="9"/>
      <c r="H105" s="10"/>
      <c r="I105" s="27">
        <v>179905</v>
      </c>
      <c r="J105" s="11" t="s">
        <v>28</v>
      </c>
      <c r="K105" s="9">
        <v>105500</v>
      </c>
      <c r="L105" s="8" t="str">
        <f>"Израсходовано на предвыборную агитацию"</f>
        <v>Израсходовано на предвыборную агитацию</v>
      </c>
      <c r="M105" s="9"/>
      <c r="N105" s="8">
        <f>""</f>
      </c>
      <c r="O105" s="5"/>
    </row>
    <row r="106" spans="1:15" ht="41.25" customHeight="1">
      <c r="A106" s="12" t="s">
        <v>7</v>
      </c>
      <c r="B106" s="13">
        <f>""</f>
      </c>
      <c r="C106" s="13" t="str">
        <f>"Избирательный округ № 9, всего"</f>
        <v>Избирательный округ № 9, всего</v>
      </c>
      <c r="D106" s="29">
        <v>200201.6</v>
      </c>
      <c r="E106" s="14">
        <v>0</v>
      </c>
      <c r="F106" s="13">
        <f>""</f>
      </c>
      <c r="G106" s="14">
        <v>0</v>
      </c>
      <c r="H106" s="15"/>
      <c r="I106" s="29">
        <v>180106.6</v>
      </c>
      <c r="J106" s="16"/>
      <c r="K106" s="14">
        <v>105500</v>
      </c>
      <c r="L106" s="13">
        <f>""</f>
      </c>
      <c r="M106" s="14">
        <v>0</v>
      </c>
      <c r="N106" s="13">
        <f>""</f>
      </c>
      <c r="O106" s="2"/>
    </row>
    <row r="107" spans="1:15" ht="43.5" customHeight="1">
      <c r="A107" s="12" t="s">
        <v>7</v>
      </c>
      <c r="B107" s="13">
        <f>""</f>
      </c>
      <c r="C107" s="13" t="str">
        <f>"Итого по всем избирательным округам"</f>
        <v>Итого по всем избирательным округам</v>
      </c>
      <c r="D107" s="29">
        <f>D12+D16+D21+D28+D31+D33+D38+D41+D44+D50+D53+D57+D62+D66+D70+D73+D80+D83+D88+D91+D94+D96+D100+D103+D106</f>
        <v>3686528.59</v>
      </c>
      <c r="E107" s="29">
        <f aca="true" t="shared" si="2" ref="E107:M107">E12+E16+E21+E28+E31+E33+E38+E41+E44+E50+E53+E57+E62+E66+E70+E73+E80+E83+E88+E91+E94+E96+E100+E103+E106</f>
        <v>1390000</v>
      </c>
      <c r="F107" s="29"/>
      <c r="G107" s="29"/>
      <c r="H107" s="29"/>
      <c r="I107" s="29">
        <f t="shared" si="2"/>
        <v>1104839.5</v>
      </c>
      <c r="J107" s="29"/>
      <c r="K107" s="29">
        <f t="shared" si="2"/>
        <v>529000</v>
      </c>
      <c r="L107" s="29"/>
      <c r="M107" s="29">
        <f t="shared" si="2"/>
        <v>675</v>
      </c>
      <c r="N107" s="13">
        <f>""</f>
      </c>
      <c r="O107" s="5"/>
    </row>
    <row r="108" ht="15">
      <c r="O108" s="5"/>
    </row>
    <row r="109" spans="1:14" ht="39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sheetProtection/>
  <mergeCells count="20">
    <mergeCell ref="A109:N109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2016-08-11T05:38:18Z</dcterms:created>
  <dcterms:modified xsi:type="dcterms:W3CDTF">2016-08-11T07:00:07Z</dcterms:modified>
  <cp:category/>
  <cp:version/>
  <cp:contentType/>
  <cp:contentStatus/>
</cp:coreProperties>
</file>