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5570" windowHeight="11460"/>
  </bookViews>
  <sheets>
    <sheet name="КИП 2014" sheetId="1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P35" i="1" l="1"/>
  <c r="K35" i="1"/>
  <c r="F35" i="1"/>
  <c r="E35" i="1" s="1"/>
  <c r="P24" i="1" l="1"/>
  <c r="L24" i="1"/>
  <c r="K24" i="1" s="1"/>
  <c r="F24" i="1"/>
  <c r="E24" i="1" l="1"/>
  <c r="F50" i="1"/>
  <c r="F51" i="1"/>
  <c r="F52" i="1"/>
  <c r="H45" i="1"/>
  <c r="I45" i="1"/>
  <c r="J45" i="1"/>
  <c r="G45" i="1"/>
  <c r="K52" i="1"/>
  <c r="E52" i="1" l="1"/>
  <c r="D52" i="1" s="1"/>
  <c r="P113" i="1"/>
  <c r="K113" i="1"/>
  <c r="F113" i="1"/>
  <c r="T112" i="1"/>
  <c r="S112" i="1"/>
  <c r="R112" i="1"/>
  <c r="Q112" i="1"/>
  <c r="O112" i="1"/>
  <c r="N112" i="1"/>
  <c r="M112" i="1"/>
  <c r="L112" i="1"/>
  <c r="J112" i="1"/>
  <c r="I112" i="1"/>
  <c r="H112" i="1"/>
  <c r="G112" i="1"/>
  <c r="P110" i="1"/>
  <c r="K110" i="1"/>
  <c r="F110" i="1"/>
  <c r="P109" i="1"/>
  <c r="K109" i="1"/>
  <c r="F109" i="1"/>
  <c r="P108" i="1"/>
  <c r="K108" i="1"/>
  <c r="F108" i="1"/>
  <c r="P107" i="1"/>
  <c r="K107" i="1"/>
  <c r="F107" i="1"/>
  <c r="P106" i="1"/>
  <c r="K106" i="1"/>
  <c r="F106" i="1"/>
  <c r="P105" i="1"/>
  <c r="K105" i="1"/>
  <c r="F105" i="1"/>
  <c r="P104" i="1"/>
  <c r="K104" i="1"/>
  <c r="F104" i="1"/>
  <c r="E104" i="1" s="1"/>
  <c r="T103" i="1"/>
  <c r="S103" i="1"/>
  <c r="R103" i="1"/>
  <c r="Q103" i="1"/>
  <c r="P103" i="1" s="1"/>
  <c r="P102" i="1" s="1"/>
  <c r="O103" i="1"/>
  <c r="N103" i="1"/>
  <c r="M103" i="1"/>
  <c r="L103" i="1"/>
  <c r="K103" i="1" s="1"/>
  <c r="K102" i="1" s="1"/>
  <c r="J103" i="1"/>
  <c r="I103" i="1"/>
  <c r="H103" i="1"/>
  <c r="G103" i="1"/>
  <c r="T102" i="1"/>
  <c r="S102" i="1"/>
  <c r="R102" i="1"/>
  <c r="Q102" i="1"/>
  <c r="O102" i="1"/>
  <c r="N102" i="1"/>
  <c r="M102" i="1"/>
  <c r="L102" i="1"/>
  <c r="J102" i="1"/>
  <c r="I102" i="1"/>
  <c r="H102" i="1"/>
  <c r="G102" i="1"/>
  <c r="P101" i="1"/>
  <c r="L101" i="1"/>
  <c r="K101" i="1" s="1"/>
  <c r="F101" i="1"/>
  <c r="T100" i="1"/>
  <c r="S100" i="1"/>
  <c r="R100" i="1"/>
  <c r="Q100" i="1"/>
  <c r="O100" i="1"/>
  <c r="N100" i="1"/>
  <c r="M100" i="1"/>
  <c r="J100" i="1"/>
  <c r="I100" i="1"/>
  <c r="H100" i="1"/>
  <c r="G100" i="1"/>
  <c r="P99" i="1"/>
  <c r="L99" i="1"/>
  <c r="K99" i="1" s="1"/>
  <c r="F99" i="1"/>
  <c r="P98" i="1"/>
  <c r="K98" i="1"/>
  <c r="F98" i="1"/>
  <c r="E98" i="1" s="1"/>
  <c r="T97" i="1"/>
  <c r="S97" i="1"/>
  <c r="R97" i="1"/>
  <c r="Q97" i="1"/>
  <c r="O97" i="1"/>
  <c r="N97" i="1"/>
  <c r="M97" i="1"/>
  <c r="J97" i="1"/>
  <c r="I97" i="1"/>
  <c r="H97" i="1"/>
  <c r="G97" i="1"/>
  <c r="P96" i="1"/>
  <c r="K96" i="1"/>
  <c r="F96" i="1"/>
  <c r="E96" i="1" s="1"/>
  <c r="P95" i="1"/>
  <c r="K95" i="1"/>
  <c r="F95" i="1"/>
  <c r="P94" i="1"/>
  <c r="K94" i="1"/>
  <c r="F94" i="1"/>
  <c r="E94" i="1" s="1"/>
  <c r="P93" i="1"/>
  <c r="K93" i="1"/>
  <c r="F93" i="1"/>
  <c r="P92" i="1"/>
  <c r="L92" i="1"/>
  <c r="K92" i="1" s="1"/>
  <c r="F92" i="1"/>
  <c r="P91" i="1"/>
  <c r="K91" i="1"/>
  <c r="F91" i="1"/>
  <c r="P90" i="1"/>
  <c r="K90" i="1"/>
  <c r="F90" i="1"/>
  <c r="E90" i="1" s="1"/>
  <c r="P89" i="1"/>
  <c r="K89" i="1"/>
  <c r="F89" i="1"/>
  <c r="P88" i="1"/>
  <c r="L88" i="1"/>
  <c r="K88" i="1" s="1"/>
  <c r="F88" i="1"/>
  <c r="E88" i="1" s="1"/>
  <c r="P87" i="1"/>
  <c r="K87" i="1"/>
  <c r="F87" i="1"/>
  <c r="E87" i="1"/>
  <c r="P86" i="1"/>
  <c r="L86" i="1"/>
  <c r="K86" i="1" s="1"/>
  <c r="F86" i="1"/>
  <c r="T85" i="1"/>
  <c r="S85" i="1"/>
  <c r="R85" i="1"/>
  <c r="Q85" i="1"/>
  <c r="P85" i="1"/>
  <c r="O85" i="1"/>
  <c r="N85" i="1"/>
  <c r="M85" i="1"/>
  <c r="L85" i="1"/>
  <c r="K85" i="1" s="1"/>
  <c r="J85" i="1"/>
  <c r="I85" i="1"/>
  <c r="H85" i="1"/>
  <c r="G85" i="1"/>
  <c r="F85" i="1" s="1"/>
  <c r="P84" i="1"/>
  <c r="K84" i="1"/>
  <c r="F84" i="1"/>
  <c r="Q83" i="1"/>
  <c r="P83" i="1" s="1"/>
  <c r="K83" i="1"/>
  <c r="F83" i="1"/>
  <c r="P82" i="1"/>
  <c r="K82" i="1"/>
  <c r="F82" i="1"/>
  <c r="P81" i="1"/>
  <c r="K81" i="1"/>
  <c r="F81" i="1"/>
  <c r="P80" i="1"/>
  <c r="K80" i="1"/>
  <c r="F80" i="1"/>
  <c r="Q79" i="1"/>
  <c r="P79" i="1" s="1"/>
  <c r="K79" i="1"/>
  <c r="F79" i="1"/>
  <c r="P78" i="1"/>
  <c r="K78" i="1"/>
  <c r="E78" i="1" s="1"/>
  <c r="F78" i="1"/>
  <c r="P77" i="1"/>
  <c r="K77" i="1"/>
  <c r="F77" i="1"/>
  <c r="E77" i="1" s="1"/>
  <c r="Q76" i="1"/>
  <c r="P76" i="1" s="1"/>
  <c r="K76" i="1"/>
  <c r="F76" i="1"/>
  <c r="P75" i="1"/>
  <c r="K75" i="1"/>
  <c r="F75" i="1"/>
  <c r="Q74" i="1"/>
  <c r="P74" i="1" s="1"/>
  <c r="K74" i="1"/>
  <c r="F74" i="1"/>
  <c r="P73" i="1"/>
  <c r="K73" i="1"/>
  <c r="F73" i="1"/>
  <c r="E73" i="1" s="1"/>
  <c r="P72" i="1"/>
  <c r="M72" i="1"/>
  <c r="M71" i="1" s="1"/>
  <c r="M70" i="1" s="1"/>
  <c r="L72" i="1"/>
  <c r="F72" i="1"/>
  <c r="T71" i="1"/>
  <c r="S71" i="1"/>
  <c r="S70" i="1" s="1"/>
  <c r="R71" i="1"/>
  <c r="Q71" i="1"/>
  <c r="Q70" i="1" s="1"/>
  <c r="O71" i="1"/>
  <c r="N71" i="1"/>
  <c r="N70" i="1" s="1"/>
  <c r="L71" i="1"/>
  <c r="J71" i="1"/>
  <c r="J70" i="1" s="1"/>
  <c r="I71" i="1"/>
  <c r="H71" i="1"/>
  <c r="H70" i="1" s="1"/>
  <c r="G71" i="1"/>
  <c r="P69" i="1"/>
  <c r="L69" i="1"/>
  <c r="K69" i="1" s="1"/>
  <c r="F69" i="1"/>
  <c r="P68" i="1"/>
  <c r="L68" i="1"/>
  <c r="K68" i="1" s="1"/>
  <c r="F68" i="1"/>
  <c r="P67" i="1"/>
  <c r="K67" i="1"/>
  <c r="F67" i="1"/>
  <c r="P66" i="1"/>
  <c r="K66" i="1"/>
  <c r="F66" i="1"/>
  <c r="P65" i="1"/>
  <c r="L65" i="1"/>
  <c r="K65" i="1" s="1"/>
  <c r="F65" i="1"/>
  <c r="S64" i="1"/>
  <c r="R64" i="1"/>
  <c r="Q64" i="1"/>
  <c r="N64" i="1"/>
  <c r="M64" i="1"/>
  <c r="J64" i="1"/>
  <c r="I64" i="1"/>
  <c r="H64" i="1"/>
  <c r="G64" i="1"/>
  <c r="K63" i="1"/>
  <c r="F63" i="1"/>
  <c r="K62" i="1"/>
  <c r="F62" i="1"/>
  <c r="P61" i="1"/>
  <c r="K61" i="1"/>
  <c r="F61" i="1"/>
  <c r="P60" i="1"/>
  <c r="L60" i="1"/>
  <c r="K60" i="1" s="1"/>
  <c r="F60" i="1"/>
  <c r="F59" i="1"/>
  <c r="E59" i="1" s="1"/>
  <c r="F58" i="1"/>
  <c r="E58" i="1" s="1"/>
  <c r="F57" i="1"/>
  <c r="E57" i="1" s="1"/>
  <c r="P56" i="1"/>
  <c r="K56" i="1"/>
  <c r="F56" i="1"/>
  <c r="P55" i="1"/>
  <c r="K55" i="1"/>
  <c r="F55" i="1"/>
  <c r="P54" i="1"/>
  <c r="K54" i="1"/>
  <c r="F54" i="1"/>
  <c r="P53" i="1"/>
  <c r="O53" i="1"/>
  <c r="N53" i="1"/>
  <c r="M53" i="1"/>
  <c r="L53" i="1"/>
  <c r="J53" i="1"/>
  <c r="I53" i="1"/>
  <c r="H53" i="1"/>
  <c r="G53" i="1"/>
  <c r="K51" i="1"/>
  <c r="T50" i="1"/>
  <c r="T45" i="1" s="1"/>
  <c r="S50" i="1"/>
  <c r="R50" i="1"/>
  <c r="R45" i="1" s="1"/>
  <c r="Q50" i="1"/>
  <c r="O50" i="1"/>
  <c r="O45" i="1" s="1"/>
  <c r="N50" i="1"/>
  <c r="N45" i="1" s="1"/>
  <c r="M50" i="1"/>
  <c r="M45" i="1" s="1"/>
  <c r="L50" i="1"/>
  <c r="P49" i="1"/>
  <c r="K49" i="1"/>
  <c r="F49" i="1"/>
  <c r="P48" i="1"/>
  <c r="K48" i="1"/>
  <c r="F48" i="1"/>
  <c r="P47" i="1"/>
  <c r="L47" i="1"/>
  <c r="F47" i="1"/>
  <c r="P46" i="1"/>
  <c r="K46" i="1"/>
  <c r="F46" i="1"/>
  <c r="S45" i="1"/>
  <c r="Q45" i="1"/>
  <c r="K43" i="1"/>
  <c r="F43" i="1"/>
  <c r="K42" i="1"/>
  <c r="F42" i="1"/>
  <c r="F41" i="1" s="1"/>
  <c r="O41" i="1"/>
  <c r="N41" i="1"/>
  <c r="N36" i="1" s="1"/>
  <c r="M41" i="1"/>
  <c r="M36" i="1" s="1"/>
  <c r="L41" i="1"/>
  <c r="L36" i="1" s="1"/>
  <c r="J41" i="1"/>
  <c r="J36" i="1" s="1"/>
  <c r="I41" i="1"/>
  <c r="I36" i="1" s="1"/>
  <c r="H41" i="1"/>
  <c r="H36" i="1" s="1"/>
  <c r="G41" i="1"/>
  <c r="G36" i="1" s="1"/>
  <c r="P40" i="1"/>
  <c r="K40" i="1"/>
  <c r="F40" i="1"/>
  <c r="P39" i="1"/>
  <c r="K39" i="1"/>
  <c r="F39" i="1"/>
  <c r="R38" i="1"/>
  <c r="P38" i="1" s="1"/>
  <c r="K38" i="1"/>
  <c r="F38" i="1"/>
  <c r="P37" i="1"/>
  <c r="K37" i="1"/>
  <c r="F37" i="1"/>
  <c r="T36" i="1"/>
  <c r="S36" i="1"/>
  <c r="R36" i="1"/>
  <c r="Q36" i="1"/>
  <c r="O36" i="1"/>
  <c r="P34" i="1"/>
  <c r="O34" i="1"/>
  <c r="N34" i="1"/>
  <c r="M34" i="1"/>
  <c r="L34" i="1"/>
  <c r="J34" i="1"/>
  <c r="I34" i="1"/>
  <c r="H34" i="1"/>
  <c r="G34" i="1"/>
  <c r="T8" i="1"/>
  <c r="S8" i="1"/>
  <c r="R8" i="1"/>
  <c r="Q8" i="1"/>
  <c r="K32" i="1"/>
  <c r="F32" i="1"/>
  <c r="K31" i="1"/>
  <c r="F31" i="1"/>
  <c r="K30" i="1"/>
  <c r="F30" i="1"/>
  <c r="K29" i="1"/>
  <c r="F29" i="1"/>
  <c r="O28" i="1"/>
  <c r="O8" i="1" s="1"/>
  <c r="N28" i="1"/>
  <c r="N8" i="1" s="1"/>
  <c r="N7" i="1" s="1"/>
  <c r="N6" i="1" s="1"/>
  <c r="M28" i="1"/>
  <c r="M8" i="1" s="1"/>
  <c r="L28" i="1"/>
  <c r="J28" i="1"/>
  <c r="J8" i="1" s="1"/>
  <c r="I28" i="1"/>
  <c r="I8" i="1" s="1"/>
  <c r="H28" i="1"/>
  <c r="H8" i="1" s="1"/>
  <c r="G28" i="1"/>
  <c r="G8" i="1" s="1"/>
  <c r="P27" i="1"/>
  <c r="K27" i="1"/>
  <c r="F27" i="1"/>
  <c r="P26" i="1"/>
  <c r="K26" i="1"/>
  <c r="F26" i="1"/>
  <c r="P25" i="1"/>
  <c r="K25" i="1"/>
  <c r="F25" i="1"/>
  <c r="P23" i="1"/>
  <c r="K23" i="1"/>
  <c r="F23" i="1"/>
  <c r="P22" i="1"/>
  <c r="L22" i="1"/>
  <c r="K22" i="1" s="1"/>
  <c r="F22" i="1"/>
  <c r="P21" i="1"/>
  <c r="K21" i="1"/>
  <c r="F21" i="1"/>
  <c r="P20" i="1"/>
  <c r="K20" i="1"/>
  <c r="F20" i="1"/>
  <c r="P19" i="1"/>
  <c r="L19" i="1"/>
  <c r="K19" i="1" s="1"/>
  <c r="F19" i="1"/>
  <c r="P18" i="1"/>
  <c r="K18" i="1"/>
  <c r="F18" i="1"/>
  <c r="P15" i="1"/>
  <c r="K15" i="1"/>
  <c r="F15" i="1"/>
  <c r="P14" i="1"/>
  <c r="K14" i="1"/>
  <c r="F14" i="1"/>
  <c r="P13" i="1"/>
  <c r="K13" i="1"/>
  <c r="F13" i="1"/>
  <c r="P12" i="1"/>
  <c r="L12" i="1"/>
  <c r="K12" i="1" s="1"/>
  <c r="F12" i="1"/>
  <c r="P11" i="1"/>
  <c r="L11" i="1"/>
  <c r="K11" i="1" s="1"/>
  <c r="F11" i="1"/>
  <c r="P10" i="1"/>
  <c r="L10" i="1"/>
  <c r="K10" i="1" s="1"/>
  <c r="F10" i="1"/>
  <c r="P9" i="1"/>
  <c r="K9" i="1"/>
  <c r="F9" i="1"/>
  <c r="O7" i="1" l="1"/>
  <c r="G70" i="1"/>
  <c r="I70" i="1"/>
  <c r="O70" i="1"/>
  <c r="R70" i="1"/>
  <c r="T70" i="1"/>
  <c r="E106" i="1"/>
  <c r="E108" i="1"/>
  <c r="H7" i="1"/>
  <c r="H6" i="1" s="1"/>
  <c r="M7" i="1"/>
  <c r="M6" i="1" s="1"/>
  <c r="T7" i="1"/>
  <c r="T6" i="1" s="1"/>
  <c r="E43" i="1"/>
  <c r="K47" i="1"/>
  <c r="L45" i="1"/>
  <c r="K72" i="1"/>
  <c r="E72" i="1" s="1"/>
  <c r="F64" i="1"/>
  <c r="L64" i="1"/>
  <c r="E67" i="1"/>
  <c r="P71" i="1"/>
  <c r="E76" i="1"/>
  <c r="F36" i="1"/>
  <c r="E110" i="1"/>
  <c r="E14" i="1"/>
  <c r="E18" i="1"/>
  <c r="E21" i="1"/>
  <c r="K28" i="1"/>
  <c r="E29" i="1"/>
  <c r="E31" i="1"/>
  <c r="E32" i="1"/>
  <c r="Q7" i="1"/>
  <c r="Q6" i="1" s="1"/>
  <c r="S7" i="1"/>
  <c r="S6" i="1" s="1"/>
  <c r="F34" i="1"/>
  <c r="J7" i="1"/>
  <c r="J6" i="1" s="1"/>
  <c r="F112" i="1"/>
  <c r="K112" i="1"/>
  <c r="P112" i="1"/>
  <c r="E113" i="1"/>
  <c r="D112" i="1" s="1"/>
  <c r="D111" i="1" s="1"/>
  <c r="G7" i="1"/>
  <c r="I7" i="1"/>
  <c r="I6" i="1" s="1"/>
  <c r="R7" i="1"/>
  <c r="R6" i="1" s="1"/>
  <c r="E99" i="1"/>
  <c r="D97" i="1" s="1"/>
  <c r="E101" i="1"/>
  <c r="D100" i="1" s="1"/>
  <c r="F97" i="1"/>
  <c r="L97" i="1"/>
  <c r="K97" i="1" s="1"/>
  <c r="P97" i="1"/>
  <c r="F100" i="1"/>
  <c r="L100" i="1"/>
  <c r="K100" i="1" s="1"/>
  <c r="P100" i="1"/>
  <c r="E105" i="1"/>
  <c r="E107" i="1"/>
  <c r="E109" i="1"/>
  <c r="G111" i="1"/>
  <c r="E112" i="1"/>
  <c r="E111" i="1" s="1"/>
  <c r="F111" i="1"/>
  <c r="F103" i="1"/>
  <c r="F102" i="1" s="1"/>
  <c r="D34" i="1"/>
  <c r="E40" i="1"/>
  <c r="K41" i="1"/>
  <c r="E42" i="1"/>
  <c r="E47" i="1"/>
  <c r="E51" i="1"/>
  <c r="F53" i="1"/>
  <c r="K53" i="1"/>
  <c r="E61" i="1"/>
  <c r="E93" i="1"/>
  <c r="E95" i="1"/>
  <c r="E103" i="1"/>
  <c r="E102" i="1" s="1"/>
  <c r="E13" i="1"/>
  <c r="E15" i="1"/>
  <c r="E20" i="1"/>
  <c r="E81" i="1"/>
  <c r="E83" i="1"/>
  <c r="E84" i="1"/>
  <c r="E89" i="1"/>
  <c r="E91" i="1"/>
  <c r="E92" i="1"/>
  <c r="E66" i="1"/>
  <c r="K71" i="1"/>
  <c r="E11" i="1"/>
  <c r="E22" i="1"/>
  <c r="E25" i="1"/>
  <c r="E46" i="1"/>
  <c r="E74" i="1"/>
  <c r="E79" i="1"/>
  <c r="E100" i="1"/>
  <c r="E55" i="1"/>
  <c r="E63" i="1"/>
  <c r="E62" i="1" s="1"/>
  <c r="P64" i="1"/>
  <c r="F71" i="1"/>
  <c r="E75" i="1"/>
  <c r="E80" i="1"/>
  <c r="E82" i="1"/>
  <c r="E97" i="1"/>
  <c r="E85" i="1"/>
  <c r="E86" i="1"/>
  <c r="E68" i="1"/>
  <c r="D68" i="1" s="1"/>
  <c r="E27" i="1"/>
  <c r="P36" i="1"/>
  <c r="E37" i="1"/>
  <c r="E39" i="1"/>
  <c r="K45" i="1"/>
  <c r="P45" i="1"/>
  <c r="E49" i="1"/>
  <c r="K50" i="1"/>
  <c r="K64" i="1"/>
  <c r="E65" i="1"/>
  <c r="D64" i="1" s="1"/>
  <c r="E69" i="1"/>
  <c r="D69" i="1" s="1"/>
  <c r="E41" i="1"/>
  <c r="K34" i="1"/>
  <c r="E34" i="1" s="1"/>
  <c r="K36" i="1"/>
  <c r="E38" i="1"/>
  <c r="F45" i="1"/>
  <c r="E48" i="1"/>
  <c r="E54" i="1"/>
  <c r="E56" i="1"/>
  <c r="E60" i="1"/>
  <c r="E9" i="1"/>
  <c r="E23" i="1"/>
  <c r="E26" i="1"/>
  <c r="F28" i="1"/>
  <c r="E30" i="1"/>
  <c r="L8" i="1"/>
  <c r="L7" i="1" s="1"/>
  <c r="E10" i="1"/>
  <c r="E12" i="1"/>
  <c r="E19" i="1"/>
  <c r="O6" i="1" l="1"/>
  <c r="E28" i="1"/>
  <c r="K70" i="1"/>
  <c r="E53" i="1"/>
  <c r="E64" i="1"/>
  <c r="D85" i="1"/>
  <c r="E71" i="1"/>
  <c r="E70" i="1" s="1"/>
  <c r="F70" i="1"/>
  <c r="D45" i="1"/>
  <c r="P70" i="1"/>
  <c r="L70" i="1"/>
  <c r="L6" i="1" s="1"/>
  <c r="E36" i="1"/>
  <c r="G6" i="1"/>
  <c r="D103" i="1"/>
  <c r="D102" i="1" s="1"/>
  <c r="D36" i="1"/>
  <c r="D53" i="1"/>
  <c r="E45" i="1"/>
  <c r="D71" i="1"/>
  <c r="D70" i="1" s="1"/>
  <c r="D8" i="1"/>
  <c r="D7" i="1" l="1"/>
  <c r="D6" i="1" s="1"/>
  <c r="F8" i="1"/>
  <c r="F7" i="1" s="1"/>
  <c r="F6" i="1" s="1"/>
  <c r="L118" i="1" l="1"/>
  <c r="L116" i="1"/>
  <c r="Q115" i="1" l="1"/>
  <c r="R115" i="1"/>
  <c r="M115" i="1"/>
  <c r="L115" i="1"/>
  <c r="K8" i="1"/>
  <c r="K7" i="1" s="1"/>
  <c r="K6" i="1" s="1"/>
  <c r="P115" i="1" l="1"/>
  <c r="F114" i="1"/>
  <c r="F115" i="1"/>
  <c r="F116" i="1"/>
  <c r="F118" i="1"/>
  <c r="P114" i="1"/>
  <c r="P116" i="1"/>
  <c r="P117" i="1"/>
  <c r="P118" i="1"/>
  <c r="P8" i="1"/>
  <c r="P7" i="1" s="1"/>
  <c r="P6" i="1" s="1"/>
  <c r="K114" i="1"/>
  <c r="K115" i="1"/>
  <c r="K116" i="1"/>
  <c r="K117" i="1"/>
  <c r="K118" i="1"/>
  <c r="E8" i="1" l="1"/>
  <c r="E7" i="1" s="1"/>
  <c r="E6" i="1" s="1"/>
  <c r="E117" i="1"/>
  <c r="E115" i="1"/>
  <c r="E114" i="1"/>
  <c r="E118" i="1"/>
  <c r="E116" i="1"/>
</calcChain>
</file>

<file path=xl/sharedStrings.xml><?xml version="1.0" encoding="utf-8"?>
<sst xmlns="http://schemas.openxmlformats.org/spreadsheetml/2006/main" count="263" uniqueCount="248">
  <si>
    <t>Мощность объекта</t>
  </si>
  <si>
    <t>Финансирование 2014-2020</t>
  </si>
  <si>
    <t>Финансирование 2014 год, всего</t>
  </si>
  <si>
    <t>в том числе</t>
  </si>
  <si>
    <t>Средства местного бюджета</t>
  </si>
  <si>
    <t>внебюджетные средства (собственные, привлеченные)</t>
  </si>
  <si>
    <t>в том числе:</t>
  </si>
  <si>
    <t>средства местного бюджета</t>
  </si>
  <si>
    <t>средства бюджетов других уровней</t>
  </si>
  <si>
    <t>Финансирование 2015-2016 гг. - всего</t>
  </si>
  <si>
    <t>Финансирование 2017-2020 гг. - всего</t>
  </si>
  <si>
    <t>ВСЕГО</t>
  </si>
  <si>
    <t>825 учащихся</t>
  </si>
  <si>
    <t>Детский сад "Золотой ключик", ул.Энтузиастов, 51/1 г. Сургута</t>
  </si>
  <si>
    <t>Детский сад в микро-районе ПИКС  г. Сургута</t>
  </si>
  <si>
    <t>Детский сад в микрорайоне № 5-5А</t>
  </si>
  <si>
    <t xml:space="preserve">Детский сад в микрорайоне № 37 </t>
  </si>
  <si>
    <t>300 м/5147,9 м2</t>
  </si>
  <si>
    <t>Хореографическая школа в мкр.ПИКС</t>
  </si>
  <si>
    <t>Поликлиника "Нефтяник" на 700 посещений в смену в мкр.37 г.Сургута</t>
  </si>
  <si>
    <t>Поликлиника на 1000 посещений в смену в г.Сургуте</t>
  </si>
  <si>
    <t>Спортивный комплекс с плавательным бассейном на 50 метров в г.Сургуте</t>
  </si>
  <si>
    <r>
      <t>200 м/3895,4 м</t>
    </r>
    <r>
      <rPr>
        <vertAlign val="superscript"/>
        <sz val="9"/>
        <color theme="1"/>
        <rFont val="Times New Roman"/>
        <family val="1"/>
        <charset val="204"/>
      </rPr>
      <t>2</t>
    </r>
  </si>
  <si>
    <r>
      <t>260 м/4161 м</t>
    </r>
    <r>
      <rPr>
        <vertAlign val="superscript"/>
        <sz val="9"/>
        <color theme="1"/>
        <rFont val="Times New Roman"/>
        <family val="1"/>
        <charset val="204"/>
      </rPr>
      <t>2</t>
    </r>
  </si>
  <si>
    <r>
      <t>300 м/5147,9 м</t>
    </r>
    <r>
      <rPr>
        <vertAlign val="superscript"/>
        <sz val="9"/>
        <color theme="1"/>
        <rFont val="Times New Roman"/>
        <family val="1"/>
        <charset val="204"/>
      </rPr>
      <t>2</t>
    </r>
  </si>
  <si>
    <t>"Развитие гражданского общества в городе Сургуте на 2014 – 2016 годы</t>
  </si>
  <si>
    <t>Наименование муниципальной программы</t>
  </si>
  <si>
    <t>Общий объем инвестиций, руб.</t>
  </si>
  <si>
    <t>"Обеспечение жильем отдельных категорий граждан, проживающих в городе Сургуте, на 2014 – 2016 годы и на период до 2018 года"</t>
  </si>
  <si>
    <t>"Управление муниципальными финансами города Сургута на 2014 – 2016 годы"</t>
  </si>
  <si>
    <t>"Развитие материально-технической базы учреждений здравоохранения на 2014 – 2020 годы", в т.ч.:</t>
  </si>
  <si>
    <t>МБУЗ «Городская поликлиника № 4  по пр. Набережный, 41» (кап.ремонт)</t>
  </si>
  <si>
    <t>МУЗ «Клиническая городская 
поликлиника № 1». Ожоговый корпус (кап.ремонт)</t>
  </si>
  <si>
    <t>«Развитие образования
города Сургута на 2014 – 2016 годы», в т.ч.:</t>
  </si>
  <si>
    <t>Спортивный центр с универсальным игровым залом № 5 (МБОУ № 12 с углубленным изучением отдельных предметов)</t>
  </si>
  <si>
    <t>Спортивный центр с универсальным игровым залом № 6 (МБОУ СОШ № 26)</t>
  </si>
  <si>
    <t>"Развитие культуры и туризма в городе Сургуте на 2014 – 2016 годы", в т.ч.:</t>
  </si>
  <si>
    <t>Станция юных натуралистов в лесопарковой зоне междуречья р. Сайма (выполнение проектных работ)</t>
  </si>
  <si>
    <t>"Развитие транспортной системы города Сургута на 2014 – 2020 годы", в т.ч.:</t>
  </si>
  <si>
    <t>Выкуп объектов недвижимости для муниципальных нужд (компенсация) для последующего сноса</t>
  </si>
  <si>
    <t>Выполнение работ по строительству объекта "Объездная автомобильная дорога к дачным кооперативам "Черемушки", "Север-1", "Север-2" в обход гидротехнических сооружений ГРЭС-1 и ГРЭС-2"</t>
  </si>
  <si>
    <t>Выполнение работ по строительству объекта "Улица Киртбая от ул.1"З" до ул.3"З""</t>
  </si>
  <si>
    <t>Выполнение работ по строительству объекта "Улица  5"З" от Нефтеюганского шоссе до ул.39"З"</t>
  </si>
  <si>
    <t>Выполнение работ по строительству объекта "Улица Маяковского на участке от ул.30 лет Победы до ул.Университетская в г. Сургуте"</t>
  </si>
  <si>
    <t>Выполнение работ по строительству объекта "Улица 39"З" от ул.5"З" до ул.Контейнерной</t>
  </si>
  <si>
    <t>Выполнение работ по строительству объекта "Улица 3"З" от Нефтеюганского шоссе до ул.Киртбая"</t>
  </si>
  <si>
    <t>Выполнение работ по строительству объекта "Улица 3"З" от ул.Киртбая до 4"З"</t>
  </si>
  <si>
    <t>Выполнение работ по строительству объекта "Улица 3 ЮР от ул.16 ЮР до 1"З"</t>
  </si>
  <si>
    <t>Выполнение работ по строительству объекта "Улица 1"В" от ул. Маяковского до ул. 30 лет Победы"</t>
  </si>
  <si>
    <t>Выполнение работ по строительству объекта "Проспект Пролетарский от ул.30 лет Победы до ул.Геологической. Реконструкция."</t>
  </si>
  <si>
    <t>Выполнение проектно-изыскательских и работ по строительству объекта "Автомобильная дорога к новому кладбищу"</t>
  </si>
  <si>
    <t>Выполнение работ по реконструкции объекта "Магистральная улица 1-В на участке от улицы 4-В до улицы 5-В с сетями инженерного обеспечения в г. Сургуте. Реконструкция"</t>
  </si>
  <si>
    <t>"Развитие физической культуры и спорта в городе Сургуте на 2014 – 2016 годы", в т.ч.</t>
  </si>
  <si>
    <t>"Управление Муниципальной Информационной Системой на 2014 – 2020 годы"</t>
  </si>
  <si>
    <t>"Обеспечение деятельности  департамента городского хозяйства в сфере дорожно-транспортного и жилищно-коммунального комплекса на 2014 – 2016 годы"</t>
  </si>
  <si>
    <t>"Обеспечение деятельности департамента культуры, молодёжной политики и спорта Администрации города на 2014 – 2016 годы"</t>
  </si>
  <si>
    <t>"Обеспечение деятельности департамента архитектуры и градостроительства на 2014 – 2016 годы"</t>
  </si>
  <si>
    <t>"Проектирование и строительство объектов  инженерной инфраструктуры
 на территории города Сургута в 2014 – 2020 годах"</t>
  </si>
  <si>
    <t>"Дополнительные меры социальной поддержки отдельных категорий граждан муниципального образования городской округ город Сургут на 2014 – 2016 годы"</t>
  </si>
  <si>
    <t>Помещ.№23 (балкон) в зал вост.единобор.в СОК "Энергетик"</t>
  </si>
  <si>
    <t>Спортивный городок "На Сайме"</t>
  </si>
  <si>
    <t>Спортивный центр с универсальным игровым залом (№ 1)</t>
  </si>
  <si>
    <t>Хоккейный корт "Виктория"</t>
  </si>
  <si>
    <t>Хоккейный корт "Геолог"</t>
  </si>
  <si>
    <t>"Молодежная политика Сургута на 2014 – 2016 годы", в т.ч.:</t>
  </si>
  <si>
    <t>"Развитие коммунального комплекса в городе Сургуте на 2014 – 2016 годы", в т.ч.:</t>
  </si>
  <si>
    <t>Средняя общеобразовательная школа в микрорайоне 31</t>
  </si>
  <si>
    <t>Средняя общеобразовательная школа в микрорайоне 40</t>
  </si>
  <si>
    <t>Школа - детский сад в микрорайоне 38</t>
  </si>
  <si>
    <t>Школа-детский сад в микрорайоне 24</t>
  </si>
  <si>
    <t>МБОУ СОШ № 10 (пристрой)</t>
  </si>
  <si>
    <t>Детская школа искусств, мкр.ПИКС</t>
  </si>
  <si>
    <t>Кровля галереи совр.искусства "Стерх"</t>
  </si>
  <si>
    <t xml:space="preserve">"Загородный специализированный (профильный) военно-спортивный лагерь "Барсова гора" </t>
  </si>
  <si>
    <t>"Улучшение жилищных условий населения города Сургута на 2014 – 2020 годы", в т.ч.:</t>
  </si>
  <si>
    <t>"Организация ритуальных услуг и содержание объектов похоронного обслуживания в городе Сургуте на 2014 – 2020 годы", в т.ч.:</t>
  </si>
  <si>
    <t>Строительство нового кладбища</t>
  </si>
  <si>
    <t>"Охрана окружающей среды города Сургут на 2014 – 2016 годы", в т.ч.:</t>
  </si>
  <si>
    <t>Общественный центр в п. Снежный</t>
  </si>
  <si>
    <t>Инженерные сети в посёлке Снежный (УКС)</t>
  </si>
  <si>
    <t xml:space="preserve">Застройка микрорайона 48. Инженерные сети </t>
  </si>
  <si>
    <t>Инженерные сети в посёлке Снежный (кварталы С46,С47)</t>
  </si>
  <si>
    <t xml:space="preserve">"Сквер в микрорайоне 40" </t>
  </si>
  <si>
    <t>Парк "Кедровый лог"</t>
  </si>
  <si>
    <t xml:space="preserve">Сквер "Старожилов" </t>
  </si>
  <si>
    <t>Сквер в 13 "А" мкр.по ул.Профсоюзов</t>
  </si>
  <si>
    <t xml:space="preserve">Сквер в 31 мкр. </t>
  </si>
  <si>
    <t>Сквер в 39 мкр.</t>
  </si>
  <si>
    <t xml:space="preserve">Инженерные сети и внутриквартальные проезды п. Кедровый-1 </t>
  </si>
  <si>
    <t xml:space="preserve">Инженерные сети и внутриквартальные проезды п. Лунный </t>
  </si>
  <si>
    <t xml:space="preserve">Ул.Киртбая (ул.1З - ул.3З) </t>
  </si>
  <si>
    <t>частные инвестиции</t>
  </si>
  <si>
    <t>Сводная информация по финасированию программ и проектов в рамках КИП города Сургута на 2014-2020 годы</t>
  </si>
  <si>
    <t>Создание условий для развития социальной сферы</t>
  </si>
  <si>
    <t>Природоохранные мероприятия</t>
  </si>
  <si>
    <t>Развитие муниципальной службы и общественного самоуправления</t>
  </si>
  <si>
    <t>Создание условий для улучшения качества городской среды</t>
  </si>
  <si>
    <t>801 учащихся</t>
  </si>
  <si>
    <t>400 мест</t>
  </si>
  <si>
    <t>300 мест</t>
  </si>
  <si>
    <t>1451,2 кв.м</t>
  </si>
  <si>
    <t>11 сооруж.</t>
  </si>
  <si>
    <t>Государственная программа автономного округа «Развитие образования в Ханты-Мансийском автономном округе – Югре на 2014-2020 годы»</t>
  </si>
  <si>
    <t xml:space="preserve"> реконструкция здания Сургутского профессионального колледжа №17(ПИР)</t>
  </si>
  <si>
    <t>380 учащ./8554 кв.м</t>
  </si>
  <si>
    <t>реконстукция здания СурГУ под биологическую лабораторию</t>
  </si>
  <si>
    <t>108 учащ/24 учащ./2597,6 кв.м</t>
  </si>
  <si>
    <t>350 учащ./150 мест/9162 кв.м</t>
  </si>
  <si>
    <t>1292 кв.м</t>
  </si>
  <si>
    <t>700 пос.смену/12315,8 кв.м</t>
  </si>
  <si>
    <t>1000 пос/смену</t>
  </si>
  <si>
    <t>Государственная программа автономного округа «Развитие здравоохранения на 2014-2020 годы»</t>
  </si>
  <si>
    <t>425 пос.смену/6300,9 кв.м</t>
  </si>
  <si>
    <t>9584,88 кв.м</t>
  </si>
  <si>
    <t>Детская площадка "Забава" на территории ИКЦ "Старый Сургут"</t>
  </si>
  <si>
    <t>Государственная программа автономного округа «Развитие физической культуры и спорта в Ханты-Мансийском автономном округе – Югре на 2014-2020 годы»</t>
  </si>
  <si>
    <t>380 учащ/8554 кв.м</t>
  </si>
  <si>
    <t>220 чел/час/7937,5 кв.м</t>
  </si>
  <si>
    <t>2332 кв.м</t>
  </si>
  <si>
    <t>3108,2 кв.м</t>
  </si>
  <si>
    <t>6587,3 кв.м</t>
  </si>
  <si>
    <t>1190 кв.м</t>
  </si>
  <si>
    <t>110 чел/смену/31690 кв.м</t>
  </si>
  <si>
    <t>Выкупные цены собственникам непригодного жилья</t>
  </si>
  <si>
    <t>Обеспечение жильём граждан и формирование маневренного жилилищного фонда</t>
  </si>
  <si>
    <t>Ликвидация и расселение приспособленных для проживания строений</t>
  </si>
  <si>
    <t>Магистральный водовод в в ВЖР от ул. 9 П (Нефт.шоссе) по ул.Рационализаторов до ВК сущ. г.Сургут-1</t>
  </si>
  <si>
    <t>Магистральный водовод от водозабора 8А по Нефт.шос.до ВК-1</t>
  </si>
  <si>
    <t>Магистральный водовод по ул.Кайдалова от ул.1В до ул. 2В (пр.Комсомольский) г.Сургут</t>
  </si>
  <si>
    <t>Ул.Маяковского ул.30 Лет Победы -ул.Университетская</t>
  </si>
  <si>
    <t xml:space="preserve">Объездная автомобильниая дорога 1 "З", 6 пусковой комплекс,ул. Дзержинского </t>
  </si>
  <si>
    <t>Канализационный коллектор от КНС-12(7) г.Сургут</t>
  </si>
  <si>
    <t>Реконструкция объектов электросетевого хозяйства</t>
  </si>
  <si>
    <t>Расширение полигона ТБО в г.Сургуте</t>
  </si>
  <si>
    <t>1137 мест/47297 кв.м</t>
  </si>
  <si>
    <t>ДИ "Нефтяник ОАО "Сургутнефтегаз"</t>
  </si>
  <si>
    <t>Детский сад № 1 в микрорайоне 
№ 24 г. Сургута</t>
  </si>
  <si>
    <t>№
п/п</t>
  </si>
  <si>
    <t>1.</t>
  </si>
  <si>
    <t>2.</t>
  </si>
  <si>
    <t>3.</t>
  </si>
  <si>
    <t>4.</t>
  </si>
  <si>
    <t>5.</t>
  </si>
  <si>
    <t>6.</t>
  </si>
  <si>
    <t>7.</t>
  </si>
  <si>
    <t>Детский сад в микрорайоне № 30</t>
  </si>
  <si>
    <t>Детский сад в микрорайоне № 44</t>
  </si>
  <si>
    <t>Здание муниципального вечернего (сменного) общеобразовательного учреждения открытой (сменной) общеобразовательной школы №1 по ул. Профсоюзов, 52 в г.Сургуте (реконструкция)</t>
  </si>
  <si>
    <t>100 учащ./843,6 кв.м</t>
  </si>
  <si>
    <t>МБОУ СОШ в микрорайоне № 20</t>
  </si>
  <si>
    <t xml:space="preserve">расширение Сургутской специальной (коррекционной) общеобразовательной школы VIII вида с углубленной трудовой подготовкой ( пристрой мастерских и спортивно-оздоровит.блока) </t>
  </si>
  <si>
    <t xml:space="preserve">реконструкция (расширение) здания Сургутского государственного университтета под детский сад работников СГУ г. Сургут </t>
  </si>
  <si>
    <t>300 мест/6641,8 кв.м</t>
  </si>
  <si>
    <t xml:space="preserve">реконструкция Сургутского медицинского училища и общежития </t>
  </si>
  <si>
    <t xml:space="preserve">Филиал окружного бюро судебно-медицинской экспертизы в микрорайоне 31А, г. Сургут </t>
  </si>
  <si>
    <t xml:space="preserve">Детский сад в микрорайоне № 40 </t>
  </si>
  <si>
    <t>350 м/5147,9 м2</t>
  </si>
  <si>
    <t xml:space="preserve">Детский сад № 2 в микрорайоне 38 </t>
  </si>
  <si>
    <t xml:space="preserve">Клинический перинатальный центр </t>
  </si>
  <si>
    <t>315 коек</t>
  </si>
  <si>
    <t xml:space="preserve">Развитие города Сургута как инновационного центра на 2014-2023 годы </t>
  </si>
  <si>
    <t xml:space="preserve">31750 кв.м.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</si>
  <si>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</si>
  <si>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</si>
  <si>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</si>
  <si>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</si>
  <si>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</si>
  <si>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</si>
  <si>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</si>
  <si>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</si>
  <si>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</si>
  <si>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</si>
  <si>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</si>
  <si>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</si>
  <si>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</si>
  <si>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</si>
  <si>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</si>
  <si>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</si>
  <si>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</si>
  <si>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</si>
  <si>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</si>
  <si>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реконструкция поликлиники окружной клинической больницы (ПИР)</t>
  </si>
  <si>
    <t>Керлинг-центр (2014-2016 годы)</t>
  </si>
  <si>
    <t>Загородный специализированный (профильный) спортивно-оздоровительный лагерь "Олимпия" на базе муниципального бюджетного учреждения "Олимпия" (2014 год)</t>
  </si>
  <si>
    <t>Региональный центр "Центр спорта инвалидов" в г.Сургуте (2014-2017 годы)</t>
  </si>
  <si>
    <t xml:space="preserve">           
          Справочно:
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</si>
  <si>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</si>
  <si>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</si>
  <si>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</si>
  <si>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</si>
  <si>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</si>
  <si>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</si>
  <si>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</si>
  <si>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</si>
  <si>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</si>
  <si>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</si>
  <si>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</si>
  <si>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</si>
  <si>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</si>
  <si>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</si>
  <si>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</si>
  <si>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</si>
  <si>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</si>
  <si>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</si>
  <si>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</si>
  <si>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</si>
  <si>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</si>
  <si>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</si>
  <si>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</si>
  <si>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</si>
  <si>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</si>
  <si>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</si>
  <si>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</si>
  <si>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</si>
  <si>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</si>
  <si>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</si>
  <si>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</si>
  <si>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</si>
  <si>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</si>
  <si>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</si>
  <si>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</si>
  <si>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</si>
  <si>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</si>
  <si>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</si>
  <si>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</si>
  <si>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</si>
  <si>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</si>
  <si>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</si>
  <si>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</si>
  <si>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</si>
  <si>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</si>
  <si>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</si>
  <si>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</si>
  <si>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</si>
  <si>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</si>
  <si>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</si>
  <si>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</si>
  <si>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</si>
  <si>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</si>
  <si>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</si>
  <si>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</si>
  <si>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</si>
  <si>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</si>
  <si>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</si>
  <si>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</si>
  <si>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 xml:space="preserve"> Образовательный комплекс</t>
  </si>
  <si>
    <t>Университетский кампус. Пойма П8. Образовательный комплекс.</t>
  </si>
  <si>
    <t>Примечание:
Источники финансирования инвестиционных проектов - федеральные, окружные, местные бюджеты; средства программы "Сотрудничество"; частные инвестиции.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</si>
</sst>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127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0" fontId="15" fillId="2" borderId="18" xfId="2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1" fillId="0" borderId="30" xfId="0" applyFont="1" applyBorder="1" applyAlignment="1">
      <alignment vertical="top" wrapText="1"/>
    </xf>
    <xf numFmtId="0" fontId="1" fillId="0" borderId="36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top" wrapText="1"/>
    </xf>
    <xf numFmtId="0" fontId="7" fillId="2" borderId="30" xfId="0" applyFont="1" applyFill="1" applyBorder="1" applyAlignment="1">
      <alignment vertical="top" wrapText="1"/>
    </xf>
    <xf numFmtId="49" fontId="16" fillId="2" borderId="30" xfId="0" applyNumberFormat="1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/>
    </xf>
    <xf numFmtId="0" fontId="11" fillId="0" borderId="29" xfId="0" applyFont="1" applyBorder="1" applyAlignment="1">
      <alignment vertical="top" wrapText="1"/>
    </xf>
    <xf numFmtId="0" fontId="6" fillId="0" borderId="31" xfId="0" applyFont="1" applyFill="1" applyBorder="1" applyAlignment="1">
      <alignment vertical="top" wrapText="1"/>
    </xf>
    <xf numFmtId="49" fontId="12" fillId="0" borderId="30" xfId="0" applyNumberFormat="1" applyFont="1" applyFill="1" applyBorder="1" applyAlignment="1">
      <alignment vertical="top" wrapText="1"/>
    </xf>
    <xf numFmtId="49" fontId="17" fillId="0" borderId="29" xfId="0" applyNumberFormat="1" applyFont="1" applyFill="1" applyBorder="1" applyAlignment="1">
      <alignment vertical="top" wrapText="1"/>
    </xf>
    <xf numFmtId="49" fontId="7" fillId="0" borderId="30" xfId="0" applyNumberFormat="1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6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123"/>
  <sheetViews>
    <sheetView showZeros="0" tabSelected="1" view="pageLayout" zoomScale="68" zoomScaleNormal="85" zoomScalePageLayoutView="68" workbookViewId="0">
      <selection activeCell="A3" sqref="A3:P3"/>
    </sheetView>
  </sheetViews>
  <sheetFormatPr defaultColWidth="9.140625" defaultRowHeight="15" outlineLevelRow="2" outlineLevelCol="2" x14ac:dyDescent="0.25"/>
  <cols>
    <col min="1" max="1" width="5.5703125" style="82" customWidth="1"/>
    <col min="2" max="2" width="34" style="90" customWidth="1"/>
    <col min="3" max="3" width="13.28515625" style="2" customWidth="1"/>
    <col min="4" max="4" width="14.42578125" style="2" customWidth="1"/>
    <col min="5" max="5" width="14.85546875" style="3" customWidth="1"/>
    <col min="6" max="6" width="15.5703125" style="3" customWidth="1" outlineLevel="1"/>
    <col min="7" max="7" width="15" style="2" customWidth="1" outlineLevel="2"/>
    <col min="8" max="8" width="14" style="2" customWidth="1" outlineLevel="2"/>
    <col min="9" max="9" width="14.28515625" style="2" customWidth="1" outlineLevel="2"/>
    <col min="10" max="10" width="12" style="2" customWidth="1" outlineLevel="2"/>
    <col min="11" max="11" width="15.28515625" style="3" customWidth="1" outlineLevel="1"/>
    <col min="12" max="12" width="14.140625" style="2" customWidth="1" outlineLevel="2"/>
    <col min="13" max="13" width="14.42578125" style="2" customWidth="1" outlineLevel="2"/>
    <col min="14" max="14" width="14" style="2" customWidth="1" outlineLevel="2"/>
    <col min="15" max="15" width="13.5703125" style="2" customWidth="1" outlineLevel="2"/>
    <col min="16" max="16" width="14.85546875" style="3" customWidth="1" outlineLevel="1"/>
    <col min="17" max="17" width="14" style="2" customWidth="1" outlineLevel="2"/>
    <col min="18" max="18" width="13.7109375" style="2" customWidth="1" outlineLevel="2"/>
    <col min="19" max="19" width="14" style="2" customWidth="1" outlineLevel="2"/>
    <col min="20" max="20" width="9.5703125" style="2" customWidth="1" outlineLevel="2"/>
    <col min="21" max="16384" width="9.140625" style="2"/>
  </cols>
  <sheetData>
    <row r="1" spans="1:20" ht="54.75" customHeight="1" x14ac:dyDescent="0.25">
      <c r="P1" s="113"/>
      <c r="Q1" s="113"/>
      <c r="R1" s="113"/>
      <c r="S1" s="113"/>
      <c r="T1" s="113"/>
    </row>
    <row r="2" spans="1:20" ht="37.9" customHeight="1" x14ac:dyDescent="0.25"/>
    <row r="3" spans="1:20" ht="66" customHeight="1" thickBot="1" x14ac:dyDescent="0.3">
      <c r="A3" s="123" t="s">
        <v>92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05"/>
      <c r="R3" s="105"/>
      <c r="S3" s="105"/>
      <c r="T3" s="105"/>
    </row>
    <row r="4" spans="1:20" ht="12.75" customHeight="1" x14ac:dyDescent="0.25">
      <c r="A4" s="125" t="s">
        <v>137</v>
      </c>
      <c r="B4" s="116" t="s">
        <v>26</v>
      </c>
      <c r="C4" s="118" t="s">
        <v>0</v>
      </c>
      <c r="D4" s="114" t="s">
        <v>27</v>
      </c>
      <c r="E4" s="121" t="s">
        <v>1</v>
      </c>
      <c r="F4" s="121" t="s">
        <v>2</v>
      </c>
      <c r="G4" s="114" t="s">
        <v>6</v>
      </c>
      <c r="H4" s="114"/>
      <c r="I4" s="114"/>
      <c r="J4" s="114"/>
      <c r="K4" s="121" t="s">
        <v>9</v>
      </c>
      <c r="L4" s="114" t="s">
        <v>3</v>
      </c>
      <c r="M4" s="114"/>
      <c r="N4" s="114"/>
      <c r="O4" s="114"/>
      <c r="P4" s="121" t="s">
        <v>10</v>
      </c>
      <c r="Q4" s="114" t="s">
        <v>3</v>
      </c>
      <c r="R4" s="114"/>
      <c r="S4" s="114"/>
      <c r="T4" s="115"/>
    </row>
    <row r="5" spans="1:20" ht="55.5" customHeight="1" thickBot="1" x14ac:dyDescent="0.3">
      <c r="A5" s="126"/>
      <c r="B5" s="117"/>
      <c r="C5" s="119"/>
      <c r="D5" s="120"/>
      <c r="E5" s="122"/>
      <c r="F5" s="122"/>
      <c r="G5" s="104" t="s">
        <v>7</v>
      </c>
      <c r="H5" s="104" t="s">
        <v>8</v>
      </c>
      <c r="I5" s="104" t="s">
        <v>5</v>
      </c>
      <c r="J5" s="104" t="s">
        <v>91</v>
      </c>
      <c r="K5" s="122"/>
      <c r="L5" s="104" t="s">
        <v>4</v>
      </c>
      <c r="M5" s="39" t="s">
        <v>8</v>
      </c>
      <c r="N5" s="104" t="s">
        <v>5</v>
      </c>
      <c r="O5" s="104" t="s">
        <v>91</v>
      </c>
      <c r="P5" s="122"/>
      <c r="Q5" s="104" t="s">
        <v>4</v>
      </c>
      <c r="R5" s="104" t="s">
        <v>8</v>
      </c>
      <c r="S5" s="104" t="s">
        <v>5</v>
      </c>
      <c r="T5" s="1" t="s">
        <v>91</v>
      </c>
    </row>
    <row r="6" spans="1:20" ht="15.75" thickBot="1" x14ac:dyDescent="0.3">
      <c r="A6" s="83"/>
      <c r="B6" s="91" t="s">
        <v>11</v>
      </c>
      <c r="C6" s="16"/>
      <c r="D6" s="17">
        <f t="shared" ref="D6:T6" si="0">D7+D70+D102+D111</f>
        <v>18982188468</v>
      </c>
      <c r="E6" s="17">
        <f t="shared" si="0"/>
        <v>19018188468</v>
      </c>
      <c r="F6" s="17">
        <f t="shared" si="0"/>
        <v>3755043507</v>
      </c>
      <c r="G6" s="17">
        <f t="shared" si="0"/>
        <v>680509907</v>
      </c>
      <c r="H6" s="17">
        <f t="shared" si="0"/>
        <v>2140933600</v>
      </c>
      <c r="I6" s="17">
        <f t="shared" si="0"/>
        <v>0</v>
      </c>
      <c r="J6" s="17">
        <f t="shared" si="0"/>
        <v>933600000</v>
      </c>
      <c r="K6" s="17">
        <f t="shared" si="0"/>
        <v>8602764533</v>
      </c>
      <c r="L6" s="17">
        <f t="shared" si="0"/>
        <v>2137602153</v>
      </c>
      <c r="M6" s="17">
        <f t="shared" si="0"/>
        <v>2210362380</v>
      </c>
      <c r="N6" s="17">
        <f t="shared" si="0"/>
        <v>0</v>
      </c>
      <c r="O6" s="17">
        <f t="shared" si="0"/>
        <v>4254800000</v>
      </c>
      <c r="P6" s="17">
        <f t="shared" si="0"/>
        <v>6660380428</v>
      </c>
      <c r="Q6" s="17">
        <f t="shared" si="0"/>
        <v>4871587680</v>
      </c>
      <c r="R6" s="17">
        <f t="shared" si="0"/>
        <v>1788792748</v>
      </c>
      <c r="S6" s="17">
        <f t="shared" si="0"/>
        <v>0</v>
      </c>
      <c r="T6" s="46">
        <f t="shared" si="0"/>
        <v>0</v>
      </c>
    </row>
    <row r="7" spans="1:20" ht="43.9" customHeight="1" thickBot="1" x14ac:dyDescent="0.3">
      <c r="A7" s="84"/>
      <c r="B7" s="92" t="s">
        <v>93</v>
      </c>
      <c r="C7" s="14"/>
      <c r="D7" s="18">
        <f t="shared" ref="D7:T7" si="1">D8+D34+D36+D45+D53+D64+D68+D69</f>
        <v>11582444426</v>
      </c>
      <c r="E7" s="18">
        <f t="shared" si="1"/>
        <v>11618444426</v>
      </c>
      <c r="F7" s="18">
        <f t="shared" si="1"/>
        <v>2927408220</v>
      </c>
      <c r="G7" s="15">
        <f t="shared" si="1"/>
        <v>496359220</v>
      </c>
      <c r="H7" s="15">
        <f t="shared" si="1"/>
        <v>1497449000</v>
      </c>
      <c r="I7" s="15">
        <f t="shared" si="1"/>
        <v>0</v>
      </c>
      <c r="J7" s="15">
        <f t="shared" si="1"/>
        <v>933600000</v>
      </c>
      <c r="K7" s="18">
        <f t="shared" si="1"/>
        <v>6879074088</v>
      </c>
      <c r="L7" s="15">
        <f t="shared" si="1"/>
        <v>1457655108</v>
      </c>
      <c r="M7" s="15">
        <f t="shared" si="1"/>
        <v>1166618980</v>
      </c>
      <c r="N7" s="15">
        <f t="shared" si="1"/>
        <v>0</v>
      </c>
      <c r="O7" s="15">
        <f t="shared" si="1"/>
        <v>4254800000</v>
      </c>
      <c r="P7" s="18">
        <f t="shared" si="1"/>
        <v>1811962118</v>
      </c>
      <c r="Q7" s="15">
        <f t="shared" si="1"/>
        <v>23169370</v>
      </c>
      <c r="R7" s="15">
        <f t="shared" si="1"/>
        <v>1788792748</v>
      </c>
      <c r="S7" s="15">
        <f t="shared" si="1"/>
        <v>0</v>
      </c>
      <c r="T7" s="33">
        <f t="shared" si="1"/>
        <v>0</v>
      </c>
    </row>
    <row r="8" spans="1:20" ht="47.25" customHeight="1" outlineLevel="1" x14ac:dyDescent="0.25">
      <c r="A8" s="85"/>
      <c r="B8" s="93" t="s">
        <v>33</v>
      </c>
      <c r="C8" s="19"/>
      <c r="D8" s="37">
        <f>SUM(E9:E28)</f>
        <v>1470538243</v>
      </c>
      <c r="E8" s="37">
        <f t="shared" ref="E8:E32" si="2">F8+K8+P8</f>
        <v>1470538243</v>
      </c>
      <c r="F8" s="37">
        <f>SUM(G8:J8)</f>
        <v>526404051</v>
      </c>
      <c r="G8" s="48">
        <f>SUM(G9:G28)</f>
        <v>28291051</v>
      </c>
      <c r="H8" s="48">
        <f>SUM(H9:H28)</f>
        <v>498113000</v>
      </c>
      <c r="I8" s="48">
        <f>SUM(I9:I28)</f>
        <v>0</v>
      </c>
      <c r="J8" s="48">
        <f>SUM(J9:J28)</f>
        <v>0</v>
      </c>
      <c r="K8" s="37">
        <f>SUM(L8:O8)</f>
        <v>944134192</v>
      </c>
      <c r="L8" s="48">
        <f>SUM(L9:L28)</f>
        <v>866025192</v>
      </c>
      <c r="M8" s="48">
        <f>SUM(M9:M28)</f>
        <v>78109000</v>
      </c>
      <c r="N8" s="48">
        <f>SUM(N9:N28)</f>
        <v>0</v>
      </c>
      <c r="O8" s="48">
        <f>SUM(O9:O28)</f>
        <v>0</v>
      </c>
      <c r="P8" s="37">
        <f t="shared" ref="P8:P27" si="3">SUM(Q8:T8)</f>
        <v>0</v>
      </c>
      <c r="Q8" s="48">
        <f>SUM(Q9:Q28)</f>
        <v>0</v>
      </c>
      <c r="R8" s="48">
        <f>SUM(R9:R28)</f>
        <v>0</v>
      </c>
      <c r="S8" s="48">
        <f>SUM(S9:S28)</f>
        <v>0</v>
      </c>
      <c r="T8" s="20">
        <f>SUM(T9:T28)</f>
        <v>0</v>
      </c>
    </row>
    <row r="9" spans="1:20" ht="33" customHeight="1" outlineLevel="2" x14ac:dyDescent="0.25">
      <c r="A9" s="85" t="s">
        <v>138</v>
      </c>
      <c r="B9" s="77" t="s">
        <v>13</v>
      </c>
      <c r="C9" s="21" t="s">
        <v>22</v>
      </c>
      <c r="D9" s="43"/>
      <c r="E9" s="43">
        <f t="shared" si="2"/>
        <v>217850792</v>
      </c>
      <c r="F9" s="43">
        <f t="shared" ref="F9:F32" si="4">SUM(G9:J9)</f>
        <v>153663340</v>
      </c>
      <c r="G9" s="49">
        <v>15366340</v>
      </c>
      <c r="H9" s="49">
        <v>138297000</v>
      </c>
      <c r="I9" s="49">
        <v>0</v>
      </c>
      <c r="J9" s="49">
        <v>0</v>
      </c>
      <c r="K9" s="43">
        <f t="shared" ref="K9:K32" si="5">SUM(L9:O9)</f>
        <v>64187452</v>
      </c>
      <c r="L9" s="49">
        <v>6078452</v>
      </c>
      <c r="M9" s="49">
        <v>58109000</v>
      </c>
      <c r="N9" s="49">
        <v>0</v>
      </c>
      <c r="O9" s="49">
        <v>0</v>
      </c>
      <c r="P9" s="43">
        <f t="shared" si="3"/>
        <v>0</v>
      </c>
      <c r="Q9" s="49">
        <v>0</v>
      </c>
      <c r="R9" s="49">
        <v>0</v>
      </c>
      <c r="S9" s="49">
        <v>0</v>
      </c>
      <c r="T9" s="22">
        <v>0</v>
      </c>
    </row>
    <row r="10" spans="1:20" ht="30" outlineLevel="2" x14ac:dyDescent="0.25">
      <c r="A10" s="85" t="s">
        <v>139</v>
      </c>
      <c r="B10" s="77" t="s">
        <v>14</v>
      </c>
      <c r="C10" s="21" t="s">
        <v>23</v>
      </c>
      <c r="D10" s="43"/>
      <c r="E10" s="43">
        <f t="shared" si="2"/>
        <v>23577000</v>
      </c>
      <c r="F10" s="43">
        <f t="shared" si="4"/>
        <v>0</v>
      </c>
      <c r="G10" s="49">
        <v>0</v>
      </c>
      <c r="H10" s="49">
        <v>0</v>
      </c>
      <c r="I10" s="49">
        <v>0</v>
      </c>
      <c r="J10" s="49">
        <v>0</v>
      </c>
      <c r="K10" s="43">
        <f t="shared" si="5"/>
        <v>23577000</v>
      </c>
      <c r="L10" s="49">
        <f>14687450+8889550</f>
        <v>23577000</v>
      </c>
      <c r="M10" s="49">
        <v>0</v>
      </c>
      <c r="N10" s="49">
        <v>0</v>
      </c>
      <c r="O10" s="49">
        <v>0</v>
      </c>
      <c r="P10" s="43">
        <f t="shared" si="3"/>
        <v>0</v>
      </c>
      <c r="Q10" s="49">
        <v>0</v>
      </c>
      <c r="R10" s="49">
        <v>0</v>
      </c>
      <c r="S10" s="49">
        <v>0</v>
      </c>
      <c r="T10" s="22">
        <v>0</v>
      </c>
    </row>
    <row r="11" spans="1:20" outlineLevel="2" x14ac:dyDescent="0.25">
      <c r="A11" s="85" t="s">
        <v>140</v>
      </c>
      <c r="B11" s="77" t="s">
        <v>15</v>
      </c>
      <c r="C11" s="21" t="s">
        <v>24</v>
      </c>
      <c r="D11" s="43"/>
      <c r="E11" s="43">
        <f t="shared" si="2"/>
        <v>25692350</v>
      </c>
      <c r="F11" s="43">
        <f t="shared" si="4"/>
        <v>0</v>
      </c>
      <c r="G11" s="49">
        <v>0</v>
      </c>
      <c r="H11" s="49">
        <v>0</v>
      </c>
      <c r="I11" s="49">
        <v>0</v>
      </c>
      <c r="J11" s="49">
        <v>0</v>
      </c>
      <c r="K11" s="43">
        <f t="shared" si="5"/>
        <v>25692350</v>
      </c>
      <c r="L11" s="49">
        <f>15746200+9946150</f>
        <v>25692350</v>
      </c>
      <c r="M11" s="49">
        <v>0</v>
      </c>
      <c r="N11" s="49">
        <v>0</v>
      </c>
      <c r="O11" s="49">
        <v>0</v>
      </c>
      <c r="P11" s="43">
        <f t="shared" si="3"/>
        <v>0</v>
      </c>
      <c r="Q11" s="49">
        <v>0</v>
      </c>
      <c r="R11" s="49">
        <v>0</v>
      </c>
      <c r="S11" s="49">
        <v>0</v>
      </c>
      <c r="T11" s="22">
        <v>0</v>
      </c>
    </row>
    <row r="12" spans="1:20" ht="34.5" customHeight="1" outlineLevel="2" x14ac:dyDescent="0.25">
      <c r="A12" s="85" t="s">
        <v>141</v>
      </c>
      <c r="B12" s="77" t="s">
        <v>136</v>
      </c>
      <c r="C12" s="21" t="s">
        <v>17</v>
      </c>
      <c r="D12" s="43"/>
      <c r="E12" s="43">
        <f t="shared" si="2"/>
        <v>25692350</v>
      </c>
      <c r="F12" s="43">
        <f t="shared" si="4"/>
        <v>0</v>
      </c>
      <c r="G12" s="49">
        <v>0</v>
      </c>
      <c r="H12" s="49">
        <v>0</v>
      </c>
      <c r="I12" s="49">
        <v>0</v>
      </c>
      <c r="J12" s="49">
        <v>0</v>
      </c>
      <c r="K12" s="43">
        <f t="shared" si="5"/>
        <v>25692350</v>
      </c>
      <c r="L12" s="49">
        <f>14129440+11562910</f>
        <v>25692350</v>
      </c>
      <c r="M12" s="49">
        <v>0</v>
      </c>
      <c r="N12" s="49">
        <v>0</v>
      </c>
      <c r="O12" s="49">
        <v>0</v>
      </c>
      <c r="P12" s="43">
        <f t="shared" si="3"/>
        <v>0</v>
      </c>
      <c r="Q12" s="49">
        <v>0</v>
      </c>
      <c r="R12" s="49">
        <v>0</v>
      </c>
      <c r="S12" s="49">
        <v>0</v>
      </c>
      <c r="T12" s="22">
        <v>0</v>
      </c>
    </row>
    <row r="13" spans="1:20" outlineLevel="2" x14ac:dyDescent="0.25">
      <c r="A13" s="85" t="s">
        <v>142</v>
      </c>
      <c r="B13" s="94" t="s">
        <v>16</v>
      </c>
      <c r="C13" s="21" t="s">
        <v>17</v>
      </c>
      <c r="D13" s="43"/>
      <c r="E13" s="43">
        <f t="shared" si="2"/>
        <v>25692400</v>
      </c>
      <c r="F13" s="43">
        <f t="shared" si="4"/>
        <v>0</v>
      </c>
      <c r="G13" s="49">
        <v>0</v>
      </c>
      <c r="H13" s="49">
        <v>0</v>
      </c>
      <c r="I13" s="49">
        <v>0</v>
      </c>
      <c r="J13" s="49">
        <v>0</v>
      </c>
      <c r="K13" s="43">
        <f t="shared" si="5"/>
        <v>25692400</v>
      </c>
      <c r="L13" s="49">
        <v>25692400</v>
      </c>
      <c r="M13" s="49">
        <v>0</v>
      </c>
      <c r="N13" s="49">
        <v>0</v>
      </c>
      <c r="O13" s="49">
        <v>0</v>
      </c>
      <c r="P13" s="43">
        <f t="shared" si="3"/>
        <v>0</v>
      </c>
      <c r="Q13" s="49">
        <v>0</v>
      </c>
      <c r="R13" s="49">
        <v>0</v>
      </c>
      <c r="S13" s="49">
        <v>0</v>
      </c>
      <c r="T13" s="22">
        <v>0</v>
      </c>
    </row>
    <row r="14" spans="1:20" outlineLevel="2" x14ac:dyDescent="0.25">
      <c r="A14" s="85" t="s">
        <v>143</v>
      </c>
      <c r="B14" s="77" t="s">
        <v>155</v>
      </c>
      <c r="C14" s="21" t="s">
        <v>156</v>
      </c>
      <c r="D14" s="43"/>
      <c r="E14" s="43">
        <f t="shared" si="2"/>
        <v>28381010</v>
      </c>
      <c r="F14" s="43">
        <f t="shared" si="4"/>
        <v>0</v>
      </c>
      <c r="G14" s="49"/>
      <c r="H14" s="49"/>
      <c r="I14" s="49"/>
      <c r="J14" s="49"/>
      <c r="K14" s="43">
        <f>SUM(L14:O14)</f>
        <v>28381010</v>
      </c>
      <c r="L14" s="49">
        <v>28381010</v>
      </c>
      <c r="M14" s="49">
        <v>0</v>
      </c>
      <c r="N14" s="49">
        <v>0</v>
      </c>
      <c r="O14" s="49">
        <v>0</v>
      </c>
      <c r="P14" s="43">
        <f t="shared" si="3"/>
        <v>0</v>
      </c>
      <c r="Q14" s="49">
        <v>0</v>
      </c>
      <c r="R14" s="49">
        <v>0</v>
      </c>
      <c r="S14" s="49">
        <v>0</v>
      </c>
      <c r="T14" s="22">
        <v>0</v>
      </c>
    </row>
    <row r="15" spans="1:20" outlineLevel="2" x14ac:dyDescent="0.25">
      <c r="A15" s="85" t="s">
        <v>144</v>
      </c>
      <c r="B15" s="77" t="s">
        <v>157</v>
      </c>
      <c r="C15" s="21" t="s">
        <v>17</v>
      </c>
      <c r="D15" s="43"/>
      <c r="E15" s="43">
        <f t="shared" si="2"/>
        <v>25692350</v>
      </c>
      <c r="F15" s="43">
        <f t="shared" si="4"/>
        <v>0</v>
      </c>
      <c r="G15" s="49">
        <v>0</v>
      </c>
      <c r="H15" s="49">
        <v>0</v>
      </c>
      <c r="I15" s="49">
        <v>0</v>
      </c>
      <c r="J15" s="49">
        <v>0</v>
      </c>
      <c r="K15" s="43">
        <f t="shared" si="5"/>
        <v>25692350</v>
      </c>
      <c r="L15" s="49">
        <v>25692350</v>
      </c>
      <c r="M15" s="49">
        <v>0</v>
      </c>
      <c r="N15" s="49">
        <v>0</v>
      </c>
      <c r="O15" s="49">
        <v>0</v>
      </c>
      <c r="P15" s="43">
        <f t="shared" si="3"/>
        <v>0</v>
      </c>
      <c r="Q15" s="49">
        <v>0</v>
      </c>
      <c r="R15" s="49">
        <v>0</v>
      </c>
      <c r="S15" s="49">
        <v>0</v>
      </c>
      <c r="T15" s="22">
        <v>0</v>
      </c>
    </row>
    <row r="16" spans="1:20" outlineLevel="2" x14ac:dyDescent="0.25">
      <c r="A16" s="85" t="s">
        <v>162</v>
      </c>
      <c r="B16" s="77" t="s">
        <v>145</v>
      </c>
      <c r="C16" s="21"/>
      <c r="D16" s="43"/>
      <c r="E16" s="43"/>
      <c r="F16" s="43"/>
      <c r="G16" s="49"/>
      <c r="H16" s="49"/>
      <c r="I16" s="49"/>
      <c r="J16" s="49"/>
      <c r="K16" s="43"/>
      <c r="L16" s="49"/>
      <c r="M16" s="49"/>
      <c r="N16" s="49"/>
      <c r="O16" s="49"/>
      <c r="P16" s="43"/>
      <c r="Q16" s="49"/>
      <c r="R16" s="49"/>
      <c r="S16" s="49"/>
      <c r="T16" s="22"/>
    </row>
    <row r="17" spans="1:20" outlineLevel="2" x14ac:dyDescent="0.25">
      <c r="A17" s="85" t="s">
        <v>163</v>
      </c>
      <c r="B17" s="77" t="s">
        <v>146</v>
      </c>
      <c r="C17" s="21"/>
      <c r="D17" s="43"/>
      <c r="E17" s="43"/>
      <c r="F17" s="43"/>
      <c r="G17" s="49"/>
      <c r="H17" s="49"/>
      <c r="I17" s="49"/>
      <c r="J17" s="49"/>
      <c r="K17" s="43"/>
      <c r="L17" s="49"/>
      <c r="M17" s="49"/>
      <c r="N17" s="49"/>
      <c r="O17" s="49"/>
      <c r="P17" s="43"/>
      <c r="Q17" s="49"/>
      <c r="R17" s="49"/>
      <c r="S17" s="49"/>
      <c r="T17" s="22"/>
    </row>
    <row r="18" spans="1:20" ht="96" customHeight="1" outlineLevel="2" x14ac:dyDescent="0.25">
      <c r="A18" s="85" t="s">
        <v>164</v>
      </c>
      <c r="B18" s="77" t="s">
        <v>147</v>
      </c>
      <c r="C18" s="21" t="s">
        <v>12</v>
      </c>
      <c r="D18" s="43"/>
      <c r="E18" s="43">
        <f t="shared" si="2"/>
        <v>39688020</v>
      </c>
      <c r="F18" s="43">
        <f t="shared" si="4"/>
        <v>0</v>
      </c>
      <c r="G18" s="49">
        <v>0</v>
      </c>
      <c r="H18" s="49">
        <v>0</v>
      </c>
      <c r="I18" s="49">
        <v>0</v>
      </c>
      <c r="J18" s="49">
        <v>0</v>
      </c>
      <c r="K18" s="43">
        <f t="shared" si="5"/>
        <v>39688020</v>
      </c>
      <c r="L18" s="49">
        <v>39688020</v>
      </c>
      <c r="M18" s="49">
        <v>0</v>
      </c>
      <c r="N18" s="49">
        <v>0</v>
      </c>
      <c r="O18" s="49">
        <v>0</v>
      </c>
      <c r="P18" s="43">
        <f t="shared" si="3"/>
        <v>0</v>
      </c>
      <c r="Q18" s="49">
        <v>0</v>
      </c>
      <c r="R18" s="49">
        <v>0</v>
      </c>
      <c r="S18" s="49">
        <v>0</v>
      </c>
      <c r="T18" s="22">
        <v>0</v>
      </c>
    </row>
    <row r="19" spans="1:20" ht="35.25" customHeight="1" outlineLevel="2" x14ac:dyDescent="0.25">
      <c r="A19" s="85" t="s">
        <v>165</v>
      </c>
      <c r="B19" s="77" t="s">
        <v>67</v>
      </c>
      <c r="C19" s="21" t="s">
        <v>97</v>
      </c>
      <c r="D19" s="43"/>
      <c r="E19" s="43">
        <f t="shared" si="2"/>
        <v>38558325</v>
      </c>
      <c r="F19" s="43">
        <f t="shared" si="4"/>
        <v>0</v>
      </c>
      <c r="G19" s="49"/>
      <c r="H19" s="49"/>
      <c r="I19" s="49"/>
      <c r="J19" s="49"/>
      <c r="K19" s="43">
        <f t="shared" si="5"/>
        <v>38558325</v>
      </c>
      <c r="L19" s="49">
        <f>8282975+30275350</f>
        <v>38558325</v>
      </c>
      <c r="M19" s="49"/>
      <c r="N19" s="49"/>
      <c r="O19" s="49"/>
      <c r="P19" s="43">
        <f t="shared" si="3"/>
        <v>0</v>
      </c>
      <c r="Q19" s="49"/>
      <c r="R19" s="49"/>
      <c r="S19" s="49"/>
      <c r="T19" s="22"/>
    </row>
    <row r="20" spans="1:20" ht="33.75" customHeight="1" outlineLevel="2" x14ac:dyDescent="0.25">
      <c r="A20" s="85" t="s">
        <v>166</v>
      </c>
      <c r="B20" s="77" t="s">
        <v>68</v>
      </c>
      <c r="C20" s="21" t="s">
        <v>99</v>
      </c>
      <c r="D20" s="43"/>
      <c r="E20" s="43">
        <f t="shared" si="2"/>
        <v>34732710</v>
      </c>
      <c r="F20" s="43">
        <f t="shared" si="4"/>
        <v>0</v>
      </c>
      <c r="G20" s="49"/>
      <c r="H20" s="49"/>
      <c r="I20" s="49"/>
      <c r="J20" s="49"/>
      <c r="K20" s="43">
        <f t="shared" si="5"/>
        <v>34732710</v>
      </c>
      <c r="L20" s="49">
        <v>34732710</v>
      </c>
      <c r="M20" s="49"/>
      <c r="N20" s="49"/>
      <c r="O20" s="49"/>
      <c r="P20" s="43">
        <f t="shared" si="3"/>
        <v>0</v>
      </c>
      <c r="Q20" s="49"/>
      <c r="R20" s="49"/>
      <c r="S20" s="49"/>
      <c r="T20" s="22"/>
    </row>
    <row r="21" spans="1:20" ht="30" outlineLevel="2" x14ac:dyDescent="0.25">
      <c r="A21" s="85" t="s">
        <v>167</v>
      </c>
      <c r="B21" s="77" t="s">
        <v>69</v>
      </c>
      <c r="C21" s="21" t="s">
        <v>99</v>
      </c>
      <c r="D21" s="43"/>
      <c r="E21" s="43">
        <f t="shared" si="2"/>
        <v>34732710</v>
      </c>
      <c r="F21" s="43">
        <f t="shared" si="4"/>
        <v>0</v>
      </c>
      <c r="G21" s="49"/>
      <c r="H21" s="49"/>
      <c r="I21" s="49"/>
      <c r="J21" s="49"/>
      <c r="K21" s="43">
        <f t="shared" si="5"/>
        <v>34732710</v>
      </c>
      <c r="L21" s="49">
        <v>34732710</v>
      </c>
      <c r="M21" s="49"/>
      <c r="N21" s="49"/>
      <c r="O21" s="49"/>
      <c r="P21" s="43">
        <f t="shared" si="3"/>
        <v>0</v>
      </c>
      <c r="Q21" s="49"/>
      <c r="R21" s="49"/>
      <c r="S21" s="49"/>
      <c r="T21" s="22"/>
    </row>
    <row r="22" spans="1:20" ht="18" customHeight="1" outlineLevel="2" x14ac:dyDescent="0.25">
      <c r="A22" s="85" t="s">
        <v>168</v>
      </c>
      <c r="B22" s="77" t="s">
        <v>70</v>
      </c>
      <c r="C22" s="21"/>
      <c r="D22" s="43"/>
      <c r="E22" s="43">
        <f t="shared" si="2"/>
        <v>291031570</v>
      </c>
      <c r="F22" s="43">
        <f t="shared" si="4"/>
        <v>0</v>
      </c>
      <c r="G22" s="49"/>
      <c r="H22" s="49"/>
      <c r="I22" s="49"/>
      <c r="J22" s="49"/>
      <c r="K22" s="43">
        <f t="shared" si="5"/>
        <v>291031570</v>
      </c>
      <c r="L22" s="49">
        <f>56769590+234261980</f>
        <v>291031570</v>
      </c>
      <c r="M22" s="49"/>
      <c r="N22" s="49"/>
      <c r="O22" s="49"/>
      <c r="P22" s="43">
        <f t="shared" si="3"/>
        <v>0</v>
      </c>
      <c r="Q22" s="49"/>
      <c r="R22" s="49"/>
      <c r="S22" s="49"/>
      <c r="T22" s="22"/>
    </row>
    <row r="23" spans="1:20" outlineLevel="2" x14ac:dyDescent="0.25">
      <c r="A23" s="85" t="s">
        <v>169</v>
      </c>
      <c r="B23" s="77" t="s">
        <v>149</v>
      </c>
      <c r="C23" s="21"/>
      <c r="D23" s="43"/>
      <c r="E23" s="43">
        <f t="shared" si="2"/>
        <v>76790710</v>
      </c>
      <c r="F23" s="43">
        <f t="shared" si="4"/>
        <v>0</v>
      </c>
      <c r="G23" s="49"/>
      <c r="H23" s="49"/>
      <c r="I23" s="49"/>
      <c r="J23" s="49"/>
      <c r="K23" s="43">
        <f t="shared" si="5"/>
        <v>76790710</v>
      </c>
      <c r="L23" s="49">
        <v>76790710</v>
      </c>
      <c r="M23" s="49"/>
      <c r="N23" s="49"/>
      <c r="O23" s="49"/>
      <c r="P23" s="43">
        <f t="shared" si="3"/>
        <v>0</v>
      </c>
      <c r="Q23" s="49"/>
      <c r="R23" s="49"/>
      <c r="S23" s="49"/>
      <c r="T23" s="22"/>
    </row>
    <row r="24" spans="1:20" ht="32.25" customHeight="1" outlineLevel="2" x14ac:dyDescent="0.25">
      <c r="A24" s="85" t="s">
        <v>170</v>
      </c>
      <c r="B24" s="77" t="s">
        <v>66</v>
      </c>
      <c r="C24" s="21" t="s">
        <v>12</v>
      </c>
      <c r="D24" s="43"/>
      <c r="E24" s="43">
        <f t="shared" si="2"/>
        <v>39685235</v>
      </c>
      <c r="F24" s="43">
        <f t="shared" si="4"/>
        <v>0</v>
      </c>
      <c r="G24" s="49"/>
      <c r="H24" s="49"/>
      <c r="I24" s="49"/>
      <c r="J24" s="49"/>
      <c r="K24" s="43">
        <f t="shared" si="5"/>
        <v>39685235</v>
      </c>
      <c r="L24" s="49">
        <f>21700771+17984464</f>
        <v>39685235</v>
      </c>
      <c r="M24" s="49"/>
      <c r="N24" s="49"/>
      <c r="O24" s="49"/>
      <c r="P24" s="43">
        <f t="shared" si="3"/>
        <v>0</v>
      </c>
      <c r="Q24" s="49"/>
      <c r="R24" s="49"/>
      <c r="S24" s="49"/>
      <c r="T24" s="22"/>
    </row>
    <row r="25" spans="1:20" ht="63" customHeight="1" outlineLevel="2" x14ac:dyDescent="0.25">
      <c r="A25" s="85" t="s">
        <v>171</v>
      </c>
      <c r="B25" s="77" t="s">
        <v>34</v>
      </c>
      <c r="C25" s="21" t="s">
        <v>100</v>
      </c>
      <c r="D25" s="43"/>
      <c r="E25" s="43">
        <f t="shared" si="2"/>
        <v>75000000</v>
      </c>
      <c r="F25" s="43">
        <f t="shared" si="4"/>
        <v>0</v>
      </c>
      <c r="G25" s="49">
        <v>0</v>
      </c>
      <c r="H25" s="49">
        <v>0</v>
      </c>
      <c r="I25" s="49">
        <v>0</v>
      </c>
      <c r="J25" s="49">
        <v>0</v>
      </c>
      <c r="K25" s="43">
        <f t="shared" si="5"/>
        <v>75000000</v>
      </c>
      <c r="L25" s="49">
        <v>75000000</v>
      </c>
      <c r="M25" s="49">
        <v>0</v>
      </c>
      <c r="N25" s="49">
        <v>0</v>
      </c>
      <c r="O25" s="49">
        <v>0</v>
      </c>
      <c r="P25" s="43">
        <f t="shared" si="3"/>
        <v>0</v>
      </c>
      <c r="Q25" s="49">
        <v>0</v>
      </c>
      <c r="R25" s="49">
        <v>0</v>
      </c>
      <c r="S25" s="49">
        <v>0</v>
      </c>
      <c r="T25" s="22">
        <v>0</v>
      </c>
    </row>
    <row r="26" spans="1:20" ht="45" outlineLevel="2" x14ac:dyDescent="0.25">
      <c r="A26" s="85" t="s">
        <v>172</v>
      </c>
      <c r="B26" s="77" t="s">
        <v>35</v>
      </c>
      <c r="C26" s="21" t="s">
        <v>100</v>
      </c>
      <c r="D26" s="43"/>
      <c r="E26" s="43">
        <f t="shared" si="2"/>
        <v>75000000</v>
      </c>
      <c r="F26" s="43">
        <f t="shared" si="4"/>
        <v>0</v>
      </c>
      <c r="G26" s="49">
        <v>0</v>
      </c>
      <c r="H26" s="49">
        <v>0</v>
      </c>
      <c r="I26" s="49">
        <v>0</v>
      </c>
      <c r="J26" s="49">
        <v>0</v>
      </c>
      <c r="K26" s="43">
        <f t="shared" si="5"/>
        <v>75000000</v>
      </c>
      <c r="L26" s="49">
        <v>75000000</v>
      </c>
      <c r="M26" s="49">
        <v>0</v>
      </c>
      <c r="N26" s="49">
        <v>0</v>
      </c>
      <c r="O26" s="49">
        <v>0</v>
      </c>
      <c r="P26" s="43">
        <f t="shared" si="3"/>
        <v>0</v>
      </c>
      <c r="Q26" s="49">
        <v>0</v>
      </c>
      <c r="R26" s="49">
        <v>0</v>
      </c>
      <c r="S26" s="49">
        <v>0</v>
      </c>
      <c r="T26" s="22">
        <v>0</v>
      </c>
    </row>
    <row r="27" spans="1:20" ht="66.75" customHeight="1" outlineLevel="2" x14ac:dyDescent="0.25">
      <c r="A27" s="85" t="s">
        <v>173</v>
      </c>
      <c r="B27" s="77" t="s">
        <v>37</v>
      </c>
      <c r="C27" s="21" t="s">
        <v>101</v>
      </c>
      <c r="D27" s="43"/>
      <c r="E27" s="43">
        <f t="shared" si="2"/>
        <v>12924711</v>
      </c>
      <c r="F27" s="43">
        <f t="shared" si="4"/>
        <v>12924711</v>
      </c>
      <c r="G27" s="49">
        <v>12924711</v>
      </c>
      <c r="H27" s="49">
        <v>0</v>
      </c>
      <c r="I27" s="49">
        <v>0</v>
      </c>
      <c r="J27" s="49">
        <v>0</v>
      </c>
      <c r="K27" s="43">
        <f t="shared" si="5"/>
        <v>0</v>
      </c>
      <c r="L27" s="49">
        <v>0</v>
      </c>
      <c r="M27" s="49">
        <v>0</v>
      </c>
      <c r="N27" s="49">
        <v>0</v>
      </c>
      <c r="O27" s="49">
        <v>0</v>
      </c>
      <c r="P27" s="43">
        <f t="shared" si="3"/>
        <v>0</v>
      </c>
      <c r="Q27" s="50">
        <v>0</v>
      </c>
      <c r="R27" s="50">
        <v>0</v>
      </c>
      <c r="S27" s="50">
        <v>0</v>
      </c>
      <c r="T27" s="35">
        <v>0</v>
      </c>
    </row>
    <row r="28" spans="1:20" ht="75.75" customHeight="1" outlineLevel="2" x14ac:dyDescent="0.25">
      <c r="A28" s="85"/>
      <c r="B28" s="95" t="s">
        <v>102</v>
      </c>
      <c r="C28" s="21"/>
      <c r="D28" s="43"/>
      <c r="E28" s="37">
        <f t="shared" si="2"/>
        <v>379816000</v>
      </c>
      <c r="F28" s="37">
        <f>SUM(G28:J28)</f>
        <v>359816000</v>
      </c>
      <c r="G28" s="49">
        <f>SUM(G29:G33)</f>
        <v>0</v>
      </c>
      <c r="H28" s="49">
        <f t="shared" ref="H28:J28" si="6">SUM(H29:H33)</f>
        <v>359816000</v>
      </c>
      <c r="I28" s="49">
        <f t="shared" si="6"/>
        <v>0</v>
      </c>
      <c r="J28" s="49">
        <f t="shared" si="6"/>
        <v>0</v>
      </c>
      <c r="K28" s="43">
        <f t="shared" si="5"/>
        <v>20000000</v>
      </c>
      <c r="L28" s="49">
        <f>SUM(L29:L33)</f>
        <v>0</v>
      </c>
      <c r="M28" s="49">
        <f t="shared" ref="M28:O28" si="7">SUM(M29:M33)</f>
        <v>20000000</v>
      </c>
      <c r="N28" s="49">
        <f t="shared" si="7"/>
        <v>0</v>
      </c>
      <c r="O28" s="49">
        <f t="shared" si="7"/>
        <v>0</v>
      </c>
      <c r="P28" s="43"/>
      <c r="Q28" s="49"/>
      <c r="R28" s="49"/>
      <c r="S28" s="49"/>
      <c r="T28" s="22"/>
    </row>
    <row r="29" spans="1:20" ht="45" outlineLevel="2" x14ac:dyDescent="0.25">
      <c r="A29" s="85" t="s">
        <v>174</v>
      </c>
      <c r="B29" s="78" t="s">
        <v>103</v>
      </c>
      <c r="C29" s="21" t="s">
        <v>104</v>
      </c>
      <c r="D29" s="43"/>
      <c r="E29" s="43">
        <f t="shared" si="2"/>
        <v>10000000</v>
      </c>
      <c r="F29" s="43">
        <f t="shared" si="4"/>
        <v>0</v>
      </c>
      <c r="G29" s="49"/>
      <c r="H29" s="49"/>
      <c r="I29" s="49"/>
      <c r="J29" s="49"/>
      <c r="K29" s="43">
        <f t="shared" si="5"/>
        <v>10000000</v>
      </c>
      <c r="L29" s="49"/>
      <c r="M29" s="49">
        <v>10000000</v>
      </c>
      <c r="N29" s="49"/>
      <c r="O29" s="49"/>
      <c r="P29" s="43"/>
      <c r="Q29" s="49"/>
      <c r="R29" s="49"/>
      <c r="S29" s="49"/>
      <c r="T29" s="22"/>
    </row>
    <row r="30" spans="1:20" ht="30" outlineLevel="2" x14ac:dyDescent="0.25">
      <c r="A30" s="85" t="s">
        <v>175</v>
      </c>
      <c r="B30" s="78" t="s">
        <v>105</v>
      </c>
      <c r="C30" s="21" t="s">
        <v>148</v>
      </c>
      <c r="D30" s="43"/>
      <c r="E30" s="43">
        <f t="shared" si="2"/>
        <v>90042000</v>
      </c>
      <c r="F30" s="43">
        <f t="shared" si="4"/>
        <v>90042000</v>
      </c>
      <c r="G30" s="49"/>
      <c r="H30" s="49">
        <v>90042000</v>
      </c>
      <c r="I30" s="49"/>
      <c r="J30" s="49"/>
      <c r="K30" s="43">
        <f t="shared" si="5"/>
        <v>0</v>
      </c>
      <c r="L30" s="49"/>
      <c r="M30" s="49"/>
      <c r="N30" s="49"/>
      <c r="O30" s="49"/>
      <c r="P30" s="43"/>
      <c r="Q30" s="49"/>
      <c r="R30" s="49"/>
      <c r="S30" s="49"/>
      <c r="T30" s="22"/>
    </row>
    <row r="31" spans="1:20" ht="99" customHeight="1" outlineLevel="2" x14ac:dyDescent="0.25">
      <c r="A31" s="85" t="s">
        <v>176</v>
      </c>
      <c r="B31" s="78" t="s">
        <v>150</v>
      </c>
      <c r="C31" s="21" t="s">
        <v>106</v>
      </c>
      <c r="D31" s="43"/>
      <c r="E31" s="43">
        <f t="shared" si="2"/>
        <v>54000000</v>
      </c>
      <c r="F31" s="43">
        <f t="shared" si="4"/>
        <v>54000000</v>
      </c>
      <c r="G31" s="49"/>
      <c r="H31" s="49">
        <v>54000000</v>
      </c>
      <c r="I31" s="49"/>
      <c r="J31" s="49"/>
      <c r="K31" s="43">
        <f t="shared" si="5"/>
        <v>0</v>
      </c>
      <c r="L31" s="49"/>
      <c r="M31" s="49"/>
      <c r="N31" s="49"/>
      <c r="O31" s="49"/>
      <c r="P31" s="43"/>
      <c r="Q31" s="49"/>
      <c r="R31" s="49"/>
      <c r="S31" s="49"/>
      <c r="T31" s="22"/>
    </row>
    <row r="32" spans="1:20" ht="64.5" customHeight="1" outlineLevel="2" x14ac:dyDescent="0.25">
      <c r="A32" s="85" t="s">
        <v>177</v>
      </c>
      <c r="B32" s="78" t="s">
        <v>151</v>
      </c>
      <c r="C32" s="21" t="s">
        <v>152</v>
      </c>
      <c r="D32" s="43"/>
      <c r="E32" s="43">
        <f t="shared" si="2"/>
        <v>225774000</v>
      </c>
      <c r="F32" s="43">
        <f t="shared" si="4"/>
        <v>215774000</v>
      </c>
      <c r="G32" s="49"/>
      <c r="H32" s="49">
        <v>215774000</v>
      </c>
      <c r="I32" s="49"/>
      <c r="J32" s="49"/>
      <c r="K32" s="43">
        <f t="shared" si="5"/>
        <v>10000000</v>
      </c>
      <c r="L32" s="49"/>
      <c r="M32" s="49">
        <v>10000000</v>
      </c>
      <c r="N32" s="49"/>
      <c r="O32" s="49"/>
      <c r="P32" s="43"/>
      <c r="Q32" s="49"/>
      <c r="R32" s="49"/>
      <c r="S32" s="49"/>
      <c r="T32" s="22"/>
    </row>
    <row r="33" spans="1:20" ht="33" customHeight="1" outlineLevel="2" x14ac:dyDescent="0.25">
      <c r="A33" s="85" t="s">
        <v>178</v>
      </c>
      <c r="B33" s="78" t="s">
        <v>153</v>
      </c>
      <c r="C33" s="21" t="s">
        <v>107</v>
      </c>
      <c r="D33" s="43"/>
      <c r="E33" s="43"/>
      <c r="F33" s="43"/>
      <c r="G33" s="49"/>
      <c r="H33" s="49"/>
      <c r="I33" s="49"/>
      <c r="J33" s="49"/>
      <c r="K33" s="43"/>
      <c r="L33" s="49"/>
      <c r="M33" s="49"/>
      <c r="N33" s="49"/>
      <c r="O33" s="49"/>
      <c r="P33" s="43"/>
      <c r="Q33" s="49"/>
      <c r="R33" s="49"/>
      <c r="S33" s="49"/>
      <c r="T33" s="22"/>
    </row>
    <row r="34" spans="1:20" ht="32.25" customHeight="1" outlineLevel="1" x14ac:dyDescent="0.25">
      <c r="A34" s="85"/>
      <c r="B34" s="93" t="s">
        <v>64</v>
      </c>
      <c r="C34" s="19"/>
      <c r="D34" s="37">
        <f>E35</f>
        <v>7615897</v>
      </c>
      <c r="E34" s="37">
        <f t="shared" ref="E34:E43" si="8">F34+K34+P34</f>
        <v>7615897</v>
      </c>
      <c r="F34" s="37">
        <f t="shared" ref="F34:F35" si="9">SUM(G34:J34)</f>
        <v>7615897</v>
      </c>
      <c r="G34" s="48">
        <f>SUM(G35)</f>
        <v>1198897</v>
      </c>
      <c r="H34" s="48">
        <f t="shared" ref="H34:J34" si="10">SUM(H35)</f>
        <v>6417000</v>
      </c>
      <c r="I34" s="48">
        <f t="shared" si="10"/>
        <v>0</v>
      </c>
      <c r="J34" s="48">
        <f t="shared" si="10"/>
        <v>0</v>
      </c>
      <c r="K34" s="37">
        <f>SUM(L34:O34)</f>
        <v>0</v>
      </c>
      <c r="L34" s="48">
        <f>SUM(L35)</f>
        <v>0</v>
      </c>
      <c r="M34" s="48">
        <f t="shared" ref="M34:O34" si="11">SUM(M35)</f>
        <v>0</v>
      </c>
      <c r="N34" s="48">
        <f t="shared" si="11"/>
        <v>0</v>
      </c>
      <c r="O34" s="48">
        <f t="shared" si="11"/>
        <v>0</v>
      </c>
      <c r="P34" s="37">
        <f t="shared" ref="P34:P35" si="12">SUM(Q34:T34)</f>
        <v>0</v>
      </c>
      <c r="Q34" s="49"/>
      <c r="R34" s="49"/>
      <c r="S34" s="49"/>
      <c r="T34" s="22"/>
    </row>
    <row r="35" spans="1:20" ht="48.75" customHeight="1" outlineLevel="2" x14ac:dyDescent="0.25">
      <c r="A35" s="85" t="s">
        <v>179</v>
      </c>
      <c r="B35" s="77" t="s">
        <v>73</v>
      </c>
      <c r="C35" s="21" t="s">
        <v>108</v>
      </c>
      <c r="D35" s="43"/>
      <c r="E35" s="43">
        <f t="shared" si="8"/>
        <v>7615897</v>
      </c>
      <c r="F35" s="43">
        <f t="shared" si="9"/>
        <v>7615897</v>
      </c>
      <c r="G35" s="49">
        <v>1198897</v>
      </c>
      <c r="H35" s="49">
        <v>6417000</v>
      </c>
      <c r="I35" s="49"/>
      <c r="J35" s="49"/>
      <c r="K35" s="43">
        <f t="shared" ref="K35" si="13">SUM(L35:O35)</f>
        <v>0</v>
      </c>
      <c r="L35" s="49"/>
      <c r="M35" s="49"/>
      <c r="N35" s="49"/>
      <c r="O35" s="49"/>
      <c r="P35" s="43">
        <f t="shared" si="12"/>
        <v>0</v>
      </c>
      <c r="Q35" s="49"/>
      <c r="R35" s="49"/>
      <c r="S35" s="49"/>
      <c r="T35" s="22"/>
    </row>
    <row r="36" spans="1:20" s="3" customFormat="1" ht="62.25" customHeight="1" outlineLevel="1" x14ac:dyDescent="0.25">
      <c r="A36" s="86"/>
      <c r="B36" s="93" t="s">
        <v>30</v>
      </c>
      <c r="C36" s="27"/>
      <c r="D36" s="37">
        <f>SUM(E37:E41)</f>
        <v>3315134077</v>
      </c>
      <c r="E36" s="37">
        <f t="shared" si="8"/>
        <v>3315134077</v>
      </c>
      <c r="F36" s="37">
        <f>SUM(G36:J36)</f>
        <v>846922898</v>
      </c>
      <c r="G36" s="48">
        <f>SUM(G37:G41)</f>
        <v>86669898</v>
      </c>
      <c r="H36" s="48">
        <f>SUM(H37:H41)</f>
        <v>760253000</v>
      </c>
      <c r="I36" s="48">
        <f>SUM(I37:I41)</f>
        <v>0</v>
      </c>
      <c r="J36" s="48">
        <f>SUM(J37:J41)</f>
        <v>0</v>
      </c>
      <c r="K36" s="37">
        <f t="shared" ref="K36:K43" si="14">SUM(L36:O36)</f>
        <v>656249061</v>
      </c>
      <c r="L36" s="48">
        <f>SUM(L37:L41)</f>
        <v>40678681</v>
      </c>
      <c r="M36" s="48">
        <f>SUM(M37:M41)</f>
        <v>615570380</v>
      </c>
      <c r="N36" s="48">
        <f>SUM(N37:N41)</f>
        <v>0</v>
      </c>
      <c r="O36" s="48">
        <f>SUM(O37:O41)</f>
        <v>0</v>
      </c>
      <c r="P36" s="37">
        <f>SUM(Q36:T36)</f>
        <v>1811962118</v>
      </c>
      <c r="Q36" s="48">
        <f>SUM(Q37:Q41)</f>
        <v>23169370</v>
      </c>
      <c r="R36" s="48">
        <f>SUM(R37:R41)</f>
        <v>1788792748</v>
      </c>
      <c r="S36" s="48">
        <f>SUM(S37:S41)</f>
        <v>0</v>
      </c>
      <c r="T36" s="20">
        <f>SUM(T37:T41)</f>
        <v>0</v>
      </c>
    </row>
    <row r="37" spans="1:20" ht="45" outlineLevel="2" x14ac:dyDescent="0.25">
      <c r="A37" s="85" t="s">
        <v>180</v>
      </c>
      <c r="B37" s="77" t="s">
        <v>19</v>
      </c>
      <c r="C37" s="28" t="s">
        <v>109</v>
      </c>
      <c r="D37" s="43"/>
      <c r="E37" s="43">
        <f t="shared" si="8"/>
        <v>999958197</v>
      </c>
      <c r="F37" s="43">
        <f t="shared" ref="F37:F43" si="15">SUM(G37:J37)</f>
        <v>418485594</v>
      </c>
      <c r="G37" s="49">
        <v>41848594</v>
      </c>
      <c r="H37" s="49">
        <v>376637000</v>
      </c>
      <c r="I37" s="49">
        <v>0</v>
      </c>
      <c r="J37" s="49">
        <v>0</v>
      </c>
      <c r="K37" s="43">
        <f t="shared" si="14"/>
        <v>349778890</v>
      </c>
      <c r="L37" s="49">
        <v>34977890</v>
      </c>
      <c r="M37" s="49">
        <v>314801000</v>
      </c>
      <c r="N37" s="49">
        <v>0</v>
      </c>
      <c r="O37" s="49">
        <v>0</v>
      </c>
      <c r="P37" s="43">
        <f t="shared" ref="P37:P40" si="16">SUM(Q37:T37)</f>
        <v>231693713</v>
      </c>
      <c r="Q37" s="49">
        <v>23169370</v>
      </c>
      <c r="R37" s="49">
        <v>208524343</v>
      </c>
      <c r="S37" s="49">
        <v>0</v>
      </c>
      <c r="T37" s="22">
        <v>0</v>
      </c>
    </row>
    <row r="38" spans="1:20" ht="30" outlineLevel="2" x14ac:dyDescent="0.25">
      <c r="A38" s="85" t="s">
        <v>186</v>
      </c>
      <c r="B38" s="77" t="s">
        <v>20</v>
      </c>
      <c r="C38" s="21" t="s">
        <v>110</v>
      </c>
      <c r="D38" s="43"/>
      <c r="E38" s="43">
        <f t="shared" si="8"/>
        <v>1591669987</v>
      </c>
      <c r="F38" s="43">
        <f t="shared" si="15"/>
        <v>5700791</v>
      </c>
      <c r="G38" s="49">
        <v>5700791</v>
      </c>
      <c r="H38" s="49">
        <v>0</v>
      </c>
      <c r="I38" s="49">
        <v>0</v>
      </c>
      <c r="J38" s="49">
        <v>0</v>
      </c>
      <c r="K38" s="43">
        <f t="shared" si="14"/>
        <v>5700791</v>
      </c>
      <c r="L38" s="49">
        <v>5700791</v>
      </c>
      <c r="M38" s="49">
        <v>0</v>
      </c>
      <c r="N38" s="49">
        <v>0</v>
      </c>
      <c r="O38" s="49">
        <v>0</v>
      </c>
      <c r="P38" s="43">
        <f t="shared" si="16"/>
        <v>1580268405</v>
      </c>
      <c r="Q38" s="49">
        <v>0</v>
      </c>
      <c r="R38" s="49">
        <f>527730670+527730670+524807065</f>
        <v>1580268405</v>
      </c>
      <c r="S38" s="49">
        <v>0</v>
      </c>
      <c r="T38" s="22">
        <v>0</v>
      </c>
    </row>
    <row r="39" spans="1:20" ht="36.75" customHeight="1" outlineLevel="2" x14ac:dyDescent="0.25">
      <c r="A39" s="85" t="s">
        <v>187</v>
      </c>
      <c r="B39" s="77" t="s">
        <v>31</v>
      </c>
      <c r="C39" s="21"/>
      <c r="D39" s="43"/>
      <c r="E39" s="43">
        <f t="shared" si="8"/>
        <v>12461933</v>
      </c>
      <c r="F39" s="43">
        <f t="shared" si="15"/>
        <v>12461933</v>
      </c>
      <c r="G39" s="49">
        <v>12461933</v>
      </c>
      <c r="H39" s="49">
        <v>0</v>
      </c>
      <c r="I39" s="49">
        <v>0</v>
      </c>
      <c r="J39" s="49">
        <v>0</v>
      </c>
      <c r="K39" s="43">
        <f t="shared" si="14"/>
        <v>0</v>
      </c>
      <c r="L39" s="49">
        <v>0</v>
      </c>
      <c r="M39" s="49">
        <v>0</v>
      </c>
      <c r="N39" s="49">
        <v>0</v>
      </c>
      <c r="O39" s="49">
        <v>0</v>
      </c>
      <c r="P39" s="43">
        <f t="shared" si="16"/>
        <v>0</v>
      </c>
      <c r="Q39" s="49">
        <v>0</v>
      </c>
      <c r="R39" s="49">
        <v>0</v>
      </c>
      <c r="S39" s="49">
        <v>0</v>
      </c>
      <c r="T39" s="22">
        <v>0</v>
      </c>
    </row>
    <row r="40" spans="1:20" ht="47.25" customHeight="1" outlineLevel="2" x14ac:dyDescent="0.25">
      <c r="A40" s="85" t="s">
        <v>188</v>
      </c>
      <c r="B40" s="96" t="s">
        <v>32</v>
      </c>
      <c r="C40" s="34"/>
      <c r="D40" s="51"/>
      <c r="E40" s="51">
        <f t="shared" si="8"/>
        <v>26658580</v>
      </c>
      <c r="F40" s="51">
        <f t="shared" si="15"/>
        <v>26658580</v>
      </c>
      <c r="G40" s="50">
        <v>26658580</v>
      </c>
      <c r="H40" s="50">
        <v>0</v>
      </c>
      <c r="I40" s="50">
        <v>0</v>
      </c>
      <c r="J40" s="50">
        <v>0</v>
      </c>
      <c r="K40" s="43">
        <f t="shared" si="14"/>
        <v>0</v>
      </c>
      <c r="L40" s="50">
        <v>0</v>
      </c>
      <c r="M40" s="50">
        <v>0</v>
      </c>
      <c r="N40" s="50">
        <v>0</v>
      </c>
      <c r="O40" s="50">
        <v>0</v>
      </c>
      <c r="P40" s="51">
        <f t="shared" si="16"/>
        <v>0</v>
      </c>
      <c r="Q40" s="50">
        <v>0</v>
      </c>
      <c r="R40" s="50">
        <v>0</v>
      </c>
      <c r="S40" s="50">
        <v>0</v>
      </c>
      <c r="T40" s="35">
        <v>0</v>
      </c>
    </row>
    <row r="41" spans="1:20" ht="62.25" customHeight="1" outlineLevel="2" x14ac:dyDescent="0.25">
      <c r="A41" s="85"/>
      <c r="B41" s="66" t="s">
        <v>111</v>
      </c>
      <c r="C41" s="34"/>
      <c r="D41" s="43"/>
      <c r="E41" s="51">
        <f t="shared" si="8"/>
        <v>684385380</v>
      </c>
      <c r="F41" s="51">
        <f>SUM(F42:F43)</f>
        <v>383616000</v>
      </c>
      <c r="G41" s="51">
        <f t="shared" ref="G41:J41" si="17">SUM(G42:G43)</f>
        <v>0</v>
      </c>
      <c r="H41" s="51">
        <f t="shared" si="17"/>
        <v>383616000</v>
      </c>
      <c r="I41" s="51">
        <f t="shared" si="17"/>
        <v>0</v>
      </c>
      <c r="J41" s="51">
        <f t="shared" si="17"/>
        <v>0</v>
      </c>
      <c r="K41" s="43">
        <f t="shared" si="14"/>
        <v>300769380</v>
      </c>
      <c r="L41" s="51">
        <f t="shared" ref="L41:O41" si="18">SUM(L42:L43)</f>
        <v>0</v>
      </c>
      <c r="M41" s="51">
        <f t="shared" si="18"/>
        <v>300769380</v>
      </c>
      <c r="N41" s="51">
        <f t="shared" si="18"/>
        <v>0</v>
      </c>
      <c r="O41" s="51">
        <f t="shared" si="18"/>
        <v>0</v>
      </c>
      <c r="P41" s="51"/>
      <c r="Q41" s="49"/>
      <c r="R41" s="49"/>
      <c r="S41" s="49"/>
      <c r="T41" s="22"/>
    </row>
    <row r="42" spans="1:20" ht="50.25" customHeight="1" outlineLevel="2" x14ac:dyDescent="0.25">
      <c r="A42" s="85" t="s">
        <v>189</v>
      </c>
      <c r="B42" s="64" t="s">
        <v>181</v>
      </c>
      <c r="C42" s="21" t="s">
        <v>112</v>
      </c>
      <c r="D42" s="43"/>
      <c r="E42" s="51">
        <f t="shared" si="8"/>
        <v>374385380</v>
      </c>
      <c r="F42" s="51">
        <f t="shared" si="15"/>
        <v>373616000</v>
      </c>
      <c r="G42" s="49"/>
      <c r="H42" s="49">
        <v>373616000</v>
      </c>
      <c r="I42" s="49"/>
      <c r="J42" s="49"/>
      <c r="K42" s="43">
        <f t="shared" si="14"/>
        <v>769380</v>
      </c>
      <c r="L42" s="49"/>
      <c r="M42" s="49">
        <v>769380</v>
      </c>
      <c r="N42" s="49"/>
      <c r="O42" s="49"/>
      <c r="P42" s="43"/>
      <c r="Q42" s="49"/>
      <c r="R42" s="49"/>
      <c r="S42" s="49"/>
      <c r="T42" s="22"/>
    </row>
    <row r="43" spans="1:20" ht="49.5" customHeight="1" outlineLevel="2" x14ac:dyDescent="0.25">
      <c r="A43" s="85" t="s">
        <v>190</v>
      </c>
      <c r="B43" s="64" t="s">
        <v>154</v>
      </c>
      <c r="C43" s="21" t="s">
        <v>113</v>
      </c>
      <c r="D43" s="43"/>
      <c r="E43" s="43">
        <f t="shared" si="8"/>
        <v>310000000</v>
      </c>
      <c r="F43" s="43">
        <f t="shared" si="15"/>
        <v>10000000</v>
      </c>
      <c r="G43" s="49"/>
      <c r="H43" s="49">
        <v>10000000</v>
      </c>
      <c r="I43" s="49"/>
      <c r="J43" s="49"/>
      <c r="K43" s="43">
        <f t="shared" si="14"/>
        <v>300000000</v>
      </c>
      <c r="L43" s="49"/>
      <c r="M43" s="49">
        <v>300000000</v>
      </c>
      <c r="N43" s="49"/>
      <c r="O43" s="49"/>
      <c r="P43" s="43"/>
      <c r="Q43" s="49"/>
      <c r="R43" s="49"/>
      <c r="S43" s="49"/>
      <c r="T43" s="22"/>
    </row>
    <row r="44" spans="1:20" ht="24" customHeight="1" outlineLevel="2" x14ac:dyDescent="0.25">
      <c r="A44" s="85" t="s">
        <v>191</v>
      </c>
      <c r="B44" s="106" t="s">
        <v>158</v>
      </c>
      <c r="C44" s="107" t="s">
        <v>159</v>
      </c>
      <c r="D44" s="37"/>
      <c r="E44" s="37"/>
      <c r="F44" s="37"/>
      <c r="G44" s="48"/>
      <c r="H44" s="48"/>
      <c r="I44" s="48"/>
      <c r="J44" s="48"/>
      <c r="K44" s="37"/>
      <c r="L44" s="48"/>
      <c r="M44" s="48"/>
      <c r="N44" s="48"/>
      <c r="O44" s="48"/>
      <c r="P44" s="37"/>
      <c r="Q44" s="48"/>
      <c r="R44" s="48"/>
      <c r="S44" s="48"/>
      <c r="T44" s="20"/>
    </row>
    <row r="45" spans="1:20" ht="50.25" customHeight="1" outlineLevel="1" x14ac:dyDescent="0.25">
      <c r="A45" s="85"/>
      <c r="B45" s="93" t="s">
        <v>36</v>
      </c>
      <c r="C45" s="19"/>
      <c r="D45" s="37">
        <f>SUM(E46:E52)</f>
        <v>5365694519</v>
      </c>
      <c r="E45" s="37">
        <f t="shared" ref="E45:E52" si="19">F45+K45+P45</f>
        <v>5401694519</v>
      </c>
      <c r="F45" s="37">
        <f t="shared" ref="F45:F52" si="20">SUM(G45:J45)</f>
        <v>936814349</v>
      </c>
      <c r="G45" s="48">
        <f>SUM(G46:G52)</f>
        <v>3214349</v>
      </c>
      <c r="H45" s="48">
        <f t="shared" ref="H45:J45" si="21">SUM(H46:H52)</f>
        <v>0</v>
      </c>
      <c r="I45" s="48">
        <f t="shared" si="21"/>
        <v>0</v>
      </c>
      <c r="J45" s="48">
        <f t="shared" si="21"/>
        <v>933600000</v>
      </c>
      <c r="K45" s="37">
        <f t="shared" ref="K45:K52" si="22">SUM(L45:O45)</f>
        <v>4464880170</v>
      </c>
      <c r="L45" s="48">
        <f>SUM(L46:L52)</f>
        <v>138080170</v>
      </c>
      <c r="M45" s="48">
        <f t="shared" ref="M45:O45" si="23">SUM(M46:M52)</f>
        <v>72000000</v>
      </c>
      <c r="N45" s="48">
        <f t="shared" si="23"/>
        <v>0</v>
      </c>
      <c r="O45" s="48">
        <f t="shared" si="23"/>
        <v>4254800000</v>
      </c>
      <c r="P45" s="37">
        <f t="shared" ref="P45:P49" si="24">SUM(Q45:T45)</f>
        <v>0</v>
      </c>
      <c r="Q45" s="48">
        <f>SUM(Q46:Q50)</f>
        <v>0</v>
      </c>
      <c r="R45" s="48">
        <f t="shared" ref="R45:T45" si="25">SUM(R46:R50)</f>
        <v>0</v>
      </c>
      <c r="S45" s="48">
        <f t="shared" si="25"/>
        <v>0</v>
      </c>
      <c r="T45" s="20">
        <f t="shared" si="25"/>
        <v>0</v>
      </c>
    </row>
    <row r="46" spans="1:20" ht="30" outlineLevel="2" x14ac:dyDescent="0.25">
      <c r="A46" s="85" t="s">
        <v>192</v>
      </c>
      <c r="B46" s="77" t="s">
        <v>18</v>
      </c>
      <c r="C46" s="21" t="s">
        <v>99</v>
      </c>
      <c r="D46" s="43"/>
      <c r="E46" s="43">
        <f t="shared" si="19"/>
        <v>104750280</v>
      </c>
      <c r="F46" s="43">
        <f t="shared" si="20"/>
        <v>0</v>
      </c>
      <c r="G46" s="49">
        <v>0</v>
      </c>
      <c r="H46" s="49">
        <v>0</v>
      </c>
      <c r="I46" s="49">
        <v>0</v>
      </c>
      <c r="J46" s="49">
        <v>0</v>
      </c>
      <c r="K46" s="43">
        <f t="shared" si="22"/>
        <v>104750280</v>
      </c>
      <c r="L46" s="49">
        <v>104750280</v>
      </c>
      <c r="M46" s="49">
        <v>0</v>
      </c>
      <c r="N46" s="49">
        <v>0</v>
      </c>
      <c r="O46" s="49">
        <v>0</v>
      </c>
      <c r="P46" s="43">
        <f t="shared" si="24"/>
        <v>0</v>
      </c>
      <c r="Q46" s="49">
        <v>0</v>
      </c>
      <c r="R46" s="49">
        <v>0</v>
      </c>
      <c r="S46" s="49">
        <v>0</v>
      </c>
      <c r="T46" s="22">
        <v>0</v>
      </c>
    </row>
    <row r="47" spans="1:20" ht="35.25" customHeight="1" outlineLevel="2" x14ac:dyDescent="0.25">
      <c r="A47" s="85" t="s">
        <v>193</v>
      </c>
      <c r="B47" s="77" t="s">
        <v>71</v>
      </c>
      <c r="C47" s="21" t="s">
        <v>98</v>
      </c>
      <c r="D47" s="43"/>
      <c r="E47" s="43">
        <f t="shared" si="19"/>
        <v>35552113</v>
      </c>
      <c r="F47" s="43">
        <f t="shared" si="20"/>
        <v>2222223</v>
      </c>
      <c r="G47" s="49">
        <v>2222223</v>
      </c>
      <c r="H47" s="49"/>
      <c r="I47" s="49"/>
      <c r="J47" s="49"/>
      <c r="K47" s="43">
        <f t="shared" si="22"/>
        <v>33329890</v>
      </c>
      <c r="L47" s="49">
        <f>10603778+22726112</f>
        <v>33329890</v>
      </c>
      <c r="M47" s="49"/>
      <c r="N47" s="49"/>
      <c r="O47" s="49"/>
      <c r="P47" s="43">
        <f t="shared" si="24"/>
        <v>0</v>
      </c>
      <c r="Q47" s="49"/>
      <c r="R47" s="49"/>
      <c r="S47" s="49"/>
      <c r="T47" s="22"/>
    </row>
    <row r="48" spans="1:20" ht="34.5" customHeight="1" outlineLevel="2" x14ac:dyDescent="0.25">
      <c r="A48" s="85" t="s">
        <v>194</v>
      </c>
      <c r="B48" s="77" t="s">
        <v>114</v>
      </c>
      <c r="C48" s="21"/>
      <c r="D48" s="43"/>
      <c r="E48" s="43">
        <f t="shared" si="19"/>
        <v>523100</v>
      </c>
      <c r="F48" s="43">
        <f t="shared" si="20"/>
        <v>523100</v>
      </c>
      <c r="G48" s="49">
        <v>523100</v>
      </c>
      <c r="H48" s="49"/>
      <c r="I48" s="49"/>
      <c r="J48" s="49"/>
      <c r="K48" s="43">
        <f t="shared" si="22"/>
        <v>0</v>
      </c>
      <c r="L48" s="49"/>
      <c r="M48" s="49"/>
      <c r="N48" s="49"/>
      <c r="O48" s="49"/>
      <c r="P48" s="43">
        <f t="shared" si="24"/>
        <v>0</v>
      </c>
      <c r="Q48" s="49"/>
      <c r="R48" s="49"/>
      <c r="S48" s="49"/>
      <c r="T48" s="22"/>
    </row>
    <row r="49" spans="1:20" ht="30" outlineLevel="2" x14ac:dyDescent="0.25">
      <c r="A49" s="85" t="s">
        <v>195</v>
      </c>
      <c r="B49" s="96" t="s">
        <v>72</v>
      </c>
      <c r="C49" s="34"/>
      <c r="D49" s="51"/>
      <c r="E49" s="51">
        <f t="shared" si="19"/>
        <v>469026</v>
      </c>
      <c r="F49" s="51">
        <f t="shared" si="20"/>
        <v>469026</v>
      </c>
      <c r="G49" s="50">
        <v>469026</v>
      </c>
      <c r="H49" s="50"/>
      <c r="I49" s="50"/>
      <c r="J49" s="50"/>
      <c r="K49" s="43">
        <f t="shared" si="22"/>
        <v>0</v>
      </c>
      <c r="L49" s="50"/>
      <c r="M49" s="50"/>
      <c r="N49" s="50"/>
      <c r="O49" s="50"/>
      <c r="P49" s="51">
        <f t="shared" si="24"/>
        <v>0</v>
      </c>
      <c r="Q49" s="50"/>
      <c r="R49" s="50"/>
      <c r="S49" s="50"/>
      <c r="T49" s="35"/>
    </row>
    <row r="50" spans="1:20" ht="89.25" customHeight="1" outlineLevel="2" x14ac:dyDescent="0.25">
      <c r="A50" s="85"/>
      <c r="B50" s="66" t="s">
        <v>115</v>
      </c>
      <c r="C50" s="21"/>
      <c r="D50" s="43"/>
      <c r="E50" s="51"/>
      <c r="F50" s="51">
        <f t="shared" si="20"/>
        <v>0</v>
      </c>
      <c r="G50" s="49"/>
      <c r="H50" s="49"/>
      <c r="I50" s="49"/>
      <c r="J50" s="49"/>
      <c r="K50" s="43">
        <f t="shared" si="22"/>
        <v>36000000</v>
      </c>
      <c r="L50" s="49">
        <f>SUM(L51)</f>
        <v>0</v>
      </c>
      <c r="M50" s="49">
        <f>SUM(M51)</f>
        <v>36000000</v>
      </c>
      <c r="N50" s="49">
        <f>SUM(N51)</f>
        <v>0</v>
      </c>
      <c r="O50" s="49">
        <f>SUM(O51)</f>
        <v>0</v>
      </c>
      <c r="P50" s="43"/>
      <c r="Q50" s="49">
        <f>SUM(Q51)</f>
        <v>0</v>
      </c>
      <c r="R50" s="49">
        <f t="shared" ref="R50:T50" si="26">SUM(R51)</f>
        <v>0</v>
      </c>
      <c r="S50" s="49">
        <f t="shared" si="26"/>
        <v>0</v>
      </c>
      <c r="T50" s="22">
        <f t="shared" si="26"/>
        <v>0</v>
      </c>
    </row>
    <row r="51" spans="1:20" ht="24" customHeight="1" outlineLevel="2" x14ac:dyDescent="0.25">
      <c r="A51" s="85" t="s">
        <v>196</v>
      </c>
      <c r="B51" s="97" t="s">
        <v>245</v>
      </c>
      <c r="C51" s="40" t="s">
        <v>116</v>
      </c>
      <c r="D51" s="43"/>
      <c r="E51" s="43">
        <f t="shared" si="19"/>
        <v>36000000</v>
      </c>
      <c r="F51" s="51">
        <f t="shared" si="20"/>
        <v>0</v>
      </c>
      <c r="G51" s="49"/>
      <c r="H51" s="49"/>
      <c r="I51" s="49"/>
      <c r="J51" s="49"/>
      <c r="K51" s="43">
        <f t="shared" si="22"/>
        <v>36000000</v>
      </c>
      <c r="L51" s="49"/>
      <c r="M51" s="49">
        <v>36000000</v>
      </c>
      <c r="N51" s="49"/>
      <c r="O51" s="49"/>
      <c r="P51" s="43"/>
      <c r="Q51" s="49"/>
      <c r="R51" s="49"/>
      <c r="S51" s="49"/>
      <c r="T51" s="22"/>
    </row>
    <row r="52" spans="1:20" ht="30.75" customHeight="1" outlineLevel="2" x14ac:dyDescent="0.25">
      <c r="A52" s="85"/>
      <c r="B52" s="98" t="s">
        <v>135</v>
      </c>
      <c r="C52" s="45" t="s">
        <v>134</v>
      </c>
      <c r="D52" s="37">
        <f>E52</f>
        <v>5188400000</v>
      </c>
      <c r="E52" s="43">
        <f t="shared" si="19"/>
        <v>5188400000</v>
      </c>
      <c r="F52" s="43">
        <f t="shared" si="20"/>
        <v>933600000</v>
      </c>
      <c r="G52" s="48"/>
      <c r="H52" s="48"/>
      <c r="I52" s="48"/>
      <c r="J52" s="48">
        <v>933600000</v>
      </c>
      <c r="K52" s="43">
        <f t="shared" si="22"/>
        <v>4254800000</v>
      </c>
      <c r="L52" s="48"/>
      <c r="M52" s="48"/>
      <c r="N52" s="48"/>
      <c r="O52" s="48">
        <v>4254800000</v>
      </c>
      <c r="P52" s="37"/>
      <c r="Q52" s="48"/>
      <c r="R52" s="48"/>
      <c r="S52" s="48"/>
      <c r="T52" s="20"/>
    </row>
    <row r="53" spans="1:20" ht="57" outlineLevel="1" x14ac:dyDescent="0.25">
      <c r="A53" s="85"/>
      <c r="B53" s="93" t="s">
        <v>52</v>
      </c>
      <c r="C53" s="19"/>
      <c r="D53" s="37">
        <f>SUM(E54:E61)</f>
        <v>848633518</v>
      </c>
      <c r="E53" s="37">
        <f t="shared" ref="E53:E63" si="27">F53+K53+P53</f>
        <v>848633518</v>
      </c>
      <c r="F53" s="37">
        <f t="shared" ref="F53:F63" si="28">SUM(G53:J53)</f>
        <v>220342838</v>
      </c>
      <c r="G53" s="48">
        <f>SUM(G54:G62)</f>
        <v>106925838</v>
      </c>
      <c r="H53" s="48">
        <f>SUM(H54:H62)</f>
        <v>113417000</v>
      </c>
      <c r="I53" s="48">
        <f>SUM(I54:I62)</f>
        <v>0</v>
      </c>
      <c r="J53" s="48">
        <f>SUM(J54:J62)</f>
        <v>0</v>
      </c>
      <c r="K53" s="37">
        <f t="shared" ref="K53:K63" si="29">SUM(L53:O53)</f>
        <v>628290680</v>
      </c>
      <c r="L53" s="48">
        <f>SUM(L54:L62)</f>
        <v>254490680</v>
      </c>
      <c r="M53" s="48">
        <f>SUM(M54:M62)</f>
        <v>373800000</v>
      </c>
      <c r="N53" s="48">
        <f>SUM(N54:N62)</f>
        <v>0</v>
      </c>
      <c r="O53" s="48">
        <f>SUM(O54:O62)</f>
        <v>0</v>
      </c>
      <c r="P53" s="37">
        <f t="shared" ref="P53:P61" si="30">SUM(Q53:T53)</f>
        <v>0</v>
      </c>
      <c r="Q53" s="48"/>
      <c r="R53" s="48"/>
      <c r="S53" s="48"/>
      <c r="T53" s="20"/>
    </row>
    <row r="54" spans="1:20" s="7" customFormat="1" ht="45" outlineLevel="2" x14ac:dyDescent="0.25">
      <c r="A54" s="87" t="s">
        <v>197</v>
      </c>
      <c r="B54" s="77" t="s">
        <v>21</v>
      </c>
      <c r="C54" s="21" t="s">
        <v>117</v>
      </c>
      <c r="D54" s="43"/>
      <c r="E54" s="43">
        <f t="shared" si="27"/>
        <v>526279680</v>
      </c>
      <c r="F54" s="43">
        <f t="shared" si="28"/>
        <v>118889000</v>
      </c>
      <c r="G54" s="49">
        <v>11889000</v>
      </c>
      <c r="H54" s="49">
        <v>107000000</v>
      </c>
      <c r="I54" s="49"/>
      <c r="J54" s="49"/>
      <c r="K54" s="43">
        <f t="shared" si="29"/>
        <v>407390680</v>
      </c>
      <c r="L54" s="49">
        <v>33590680</v>
      </c>
      <c r="M54" s="49">
        <v>373800000</v>
      </c>
      <c r="N54" s="52"/>
      <c r="O54" s="49"/>
      <c r="P54" s="43">
        <f t="shared" si="30"/>
        <v>0</v>
      </c>
      <c r="Q54" s="49"/>
      <c r="R54" s="49"/>
      <c r="S54" s="49"/>
      <c r="T54" s="22"/>
    </row>
    <row r="55" spans="1:20" ht="30" outlineLevel="2" x14ac:dyDescent="0.25">
      <c r="A55" s="85" t="s">
        <v>198</v>
      </c>
      <c r="B55" s="77" t="s">
        <v>59</v>
      </c>
      <c r="C55" s="21"/>
      <c r="D55" s="43"/>
      <c r="E55" s="43">
        <f t="shared" si="27"/>
        <v>667979</v>
      </c>
      <c r="F55" s="43">
        <f t="shared" si="28"/>
        <v>667979</v>
      </c>
      <c r="G55" s="49">
        <v>667979</v>
      </c>
      <c r="H55" s="49"/>
      <c r="I55" s="49"/>
      <c r="J55" s="49"/>
      <c r="K55" s="43">
        <f t="shared" si="29"/>
        <v>0</v>
      </c>
      <c r="L55" s="49"/>
      <c r="M55" s="49"/>
      <c r="N55" s="49"/>
      <c r="O55" s="49"/>
      <c r="P55" s="43">
        <f t="shared" si="30"/>
        <v>0</v>
      </c>
      <c r="Q55" s="49"/>
      <c r="R55" s="49"/>
      <c r="S55" s="49"/>
      <c r="T55" s="22"/>
    </row>
    <row r="56" spans="1:20" outlineLevel="2" x14ac:dyDescent="0.25">
      <c r="A56" s="85" t="s">
        <v>199</v>
      </c>
      <c r="B56" s="99" t="s">
        <v>60</v>
      </c>
      <c r="C56" s="21" t="s">
        <v>118</v>
      </c>
      <c r="D56" s="43"/>
      <c r="E56" s="43">
        <f t="shared" si="27"/>
        <v>5771723</v>
      </c>
      <c r="F56" s="43">
        <f t="shared" si="28"/>
        <v>5771723</v>
      </c>
      <c r="G56" s="53">
        <v>5771723</v>
      </c>
      <c r="H56" s="49"/>
      <c r="I56" s="49"/>
      <c r="J56" s="49"/>
      <c r="K56" s="43">
        <f t="shared" si="29"/>
        <v>0</v>
      </c>
      <c r="L56" s="49"/>
      <c r="M56" s="49"/>
      <c r="N56" s="49"/>
      <c r="O56" s="49"/>
      <c r="P56" s="43">
        <f t="shared" si="30"/>
        <v>0</v>
      </c>
      <c r="Q56" s="49"/>
      <c r="R56" s="49"/>
      <c r="S56" s="49"/>
      <c r="T56" s="22"/>
    </row>
    <row r="57" spans="1:20" ht="35.25" customHeight="1" outlineLevel="2" x14ac:dyDescent="0.25">
      <c r="A57" s="85" t="s">
        <v>200</v>
      </c>
      <c r="B57" s="99" t="s">
        <v>61</v>
      </c>
      <c r="C57" s="21" t="s">
        <v>119</v>
      </c>
      <c r="D57" s="43"/>
      <c r="E57" s="43">
        <f t="shared" si="27"/>
        <v>84012236</v>
      </c>
      <c r="F57" s="43">
        <f t="shared" si="28"/>
        <v>84012236</v>
      </c>
      <c r="G57" s="53">
        <v>84012236</v>
      </c>
      <c r="H57" s="49"/>
      <c r="I57" s="49"/>
      <c r="J57" s="49"/>
      <c r="K57" s="43"/>
      <c r="L57" s="49"/>
      <c r="M57" s="49"/>
      <c r="N57" s="49"/>
      <c r="O57" s="49"/>
      <c r="P57" s="43"/>
      <c r="Q57" s="49"/>
      <c r="R57" s="49"/>
      <c r="S57" s="49"/>
      <c r="T57" s="22"/>
    </row>
    <row r="58" spans="1:20" outlineLevel="2" x14ac:dyDescent="0.25">
      <c r="A58" s="85" t="s">
        <v>201</v>
      </c>
      <c r="B58" s="99" t="s">
        <v>62</v>
      </c>
      <c r="C58" s="21"/>
      <c r="D58" s="43"/>
      <c r="E58" s="43">
        <f t="shared" si="27"/>
        <v>2186866</v>
      </c>
      <c r="F58" s="43">
        <f t="shared" si="28"/>
        <v>2186866</v>
      </c>
      <c r="G58" s="53">
        <v>2186866</v>
      </c>
      <c r="H58" s="49"/>
      <c r="I58" s="49"/>
      <c r="J58" s="49"/>
      <c r="K58" s="43"/>
      <c r="L58" s="49"/>
      <c r="M58" s="49"/>
      <c r="N58" s="49"/>
      <c r="O58" s="49"/>
      <c r="P58" s="43"/>
      <c r="Q58" s="49"/>
      <c r="R58" s="49"/>
      <c r="S58" s="49"/>
      <c r="T58" s="22"/>
    </row>
    <row r="59" spans="1:20" outlineLevel="2" x14ac:dyDescent="0.25">
      <c r="A59" s="85" t="s">
        <v>202</v>
      </c>
      <c r="B59" s="99" t="s">
        <v>63</v>
      </c>
      <c r="C59" s="21"/>
      <c r="D59" s="43"/>
      <c r="E59" s="43">
        <f t="shared" si="27"/>
        <v>1199137</v>
      </c>
      <c r="F59" s="43">
        <f t="shared" si="28"/>
        <v>1199137</v>
      </c>
      <c r="G59" s="53">
        <v>1199137</v>
      </c>
      <c r="H59" s="49"/>
      <c r="I59" s="49"/>
      <c r="J59" s="49"/>
      <c r="K59" s="43"/>
      <c r="L59" s="49"/>
      <c r="M59" s="49"/>
      <c r="N59" s="49"/>
      <c r="O59" s="49"/>
      <c r="P59" s="43"/>
      <c r="Q59" s="49"/>
      <c r="R59" s="49"/>
      <c r="S59" s="49"/>
      <c r="T59" s="22"/>
    </row>
    <row r="60" spans="1:20" outlineLevel="2" x14ac:dyDescent="0.25">
      <c r="A60" s="85" t="s">
        <v>203</v>
      </c>
      <c r="B60" s="77" t="s">
        <v>182</v>
      </c>
      <c r="C60" s="41" t="s">
        <v>120</v>
      </c>
      <c r="D60" s="43"/>
      <c r="E60" s="43">
        <f t="shared" si="27"/>
        <v>220900000</v>
      </c>
      <c r="F60" s="43">
        <f t="shared" si="28"/>
        <v>0</v>
      </c>
      <c r="G60" s="49"/>
      <c r="H60" s="49"/>
      <c r="I60" s="49"/>
      <c r="J60" s="49"/>
      <c r="K60" s="43">
        <f t="shared" si="29"/>
        <v>220900000</v>
      </c>
      <c r="L60" s="49">
        <f>70000000+150900000</f>
        <v>220900000</v>
      </c>
      <c r="M60" s="49"/>
      <c r="N60" s="49"/>
      <c r="O60" s="49"/>
      <c r="P60" s="43">
        <f t="shared" si="30"/>
        <v>0</v>
      </c>
      <c r="Q60" s="49"/>
      <c r="R60" s="49"/>
      <c r="S60" s="49"/>
      <c r="T60" s="22"/>
    </row>
    <row r="61" spans="1:20" s="7" customFormat="1" ht="100.5" customHeight="1" outlineLevel="2" x14ac:dyDescent="0.25">
      <c r="A61" s="87" t="s">
        <v>204</v>
      </c>
      <c r="B61" s="79" t="s">
        <v>183</v>
      </c>
      <c r="C61" s="21" t="s">
        <v>121</v>
      </c>
      <c r="D61" s="43"/>
      <c r="E61" s="43">
        <f t="shared" si="27"/>
        <v>7615897</v>
      </c>
      <c r="F61" s="43">
        <f t="shared" si="28"/>
        <v>7615897</v>
      </c>
      <c r="G61" s="49">
        <v>1198897</v>
      </c>
      <c r="H61" s="49">
        <v>6417000</v>
      </c>
      <c r="I61" s="49"/>
      <c r="J61" s="49"/>
      <c r="K61" s="43">
        <f t="shared" si="29"/>
        <v>0</v>
      </c>
      <c r="L61" s="49"/>
      <c r="M61" s="49"/>
      <c r="N61" s="49"/>
      <c r="O61" s="49"/>
      <c r="P61" s="43">
        <f t="shared" si="30"/>
        <v>0</v>
      </c>
      <c r="Q61" s="49"/>
      <c r="R61" s="49"/>
      <c r="S61" s="49"/>
      <c r="T61" s="22"/>
    </row>
    <row r="62" spans="1:20" s="7" customFormat="1" ht="89.25" customHeight="1" outlineLevel="2" x14ac:dyDescent="0.25">
      <c r="A62" s="87"/>
      <c r="B62" s="66" t="s">
        <v>115</v>
      </c>
      <c r="C62" s="21"/>
      <c r="D62" s="43"/>
      <c r="E62" s="43">
        <f>E63</f>
        <v>346628000</v>
      </c>
      <c r="F62" s="43">
        <f t="shared" si="28"/>
        <v>0</v>
      </c>
      <c r="G62" s="65"/>
      <c r="H62" s="49"/>
      <c r="I62" s="49"/>
      <c r="J62" s="49"/>
      <c r="K62" s="43">
        <f t="shared" si="29"/>
        <v>0</v>
      </c>
      <c r="L62" s="49"/>
      <c r="M62" s="49"/>
      <c r="N62" s="49"/>
      <c r="O62" s="49"/>
      <c r="P62" s="43"/>
      <c r="Q62" s="49"/>
      <c r="R62" s="49"/>
      <c r="S62" s="49"/>
      <c r="T62" s="22"/>
    </row>
    <row r="63" spans="1:20" s="7" customFormat="1" ht="46.5" customHeight="1" outlineLevel="2" x14ac:dyDescent="0.25">
      <c r="A63" s="87" t="s">
        <v>205</v>
      </c>
      <c r="B63" s="97" t="s">
        <v>184</v>
      </c>
      <c r="C63" s="42" t="s">
        <v>122</v>
      </c>
      <c r="D63" s="43"/>
      <c r="E63" s="43">
        <f t="shared" si="27"/>
        <v>346628000</v>
      </c>
      <c r="F63" s="43">
        <f t="shared" si="28"/>
        <v>0</v>
      </c>
      <c r="G63" s="49"/>
      <c r="H63" s="49"/>
      <c r="I63" s="49"/>
      <c r="J63" s="49"/>
      <c r="K63" s="43">
        <f t="shared" si="29"/>
        <v>346628000</v>
      </c>
      <c r="L63" s="49"/>
      <c r="M63" s="49">
        <v>346628000</v>
      </c>
      <c r="N63" s="49"/>
      <c r="O63" s="49"/>
      <c r="P63" s="43"/>
      <c r="Q63" s="49"/>
      <c r="R63" s="49"/>
      <c r="S63" s="49"/>
      <c r="T63" s="22"/>
    </row>
    <row r="64" spans="1:20" ht="47.25" customHeight="1" outlineLevel="1" x14ac:dyDescent="0.25">
      <c r="A64" s="85"/>
      <c r="B64" s="93" t="s">
        <v>74</v>
      </c>
      <c r="C64" s="19"/>
      <c r="D64" s="37">
        <f>SUM(E65:E67)</f>
        <v>166939311</v>
      </c>
      <c r="E64" s="37">
        <f t="shared" ref="E64:E69" si="31">F64+K64+P64</f>
        <v>166939311</v>
      </c>
      <c r="F64" s="37">
        <f>SUM(G64:J64)</f>
        <v>156085311</v>
      </c>
      <c r="G64" s="48">
        <f>SUM(G65:G67)</f>
        <v>60270211</v>
      </c>
      <c r="H64" s="48">
        <f t="shared" ref="H64:J64" si="32">SUM(H65:H67)</f>
        <v>95815100</v>
      </c>
      <c r="I64" s="48">
        <f t="shared" si="32"/>
        <v>0</v>
      </c>
      <c r="J64" s="48">
        <f t="shared" si="32"/>
        <v>0</v>
      </c>
      <c r="K64" s="54">
        <f>SUM(L64:O64)</f>
        <v>10854000</v>
      </c>
      <c r="L64" s="48">
        <f>SUM(L65:L67)</f>
        <v>10854000</v>
      </c>
      <c r="M64" s="48">
        <f t="shared" ref="M64:N64" si="33">SUM(M65:M67)</f>
        <v>0</v>
      </c>
      <c r="N64" s="48">
        <f t="shared" si="33"/>
        <v>0</v>
      </c>
      <c r="O64" s="48">
        <v>0</v>
      </c>
      <c r="P64" s="37">
        <f>SUM(Q64:T64)</f>
        <v>0</v>
      </c>
      <c r="Q64" s="48">
        <f>SUM(Q65:Q67)</f>
        <v>0</v>
      </c>
      <c r="R64" s="48">
        <f t="shared" ref="R64:S64" si="34">SUM(R65:R67)</f>
        <v>0</v>
      </c>
      <c r="S64" s="48">
        <f t="shared" si="34"/>
        <v>0</v>
      </c>
      <c r="T64" s="20">
        <v>0</v>
      </c>
    </row>
    <row r="65" spans="1:20" ht="30" outlineLevel="2" x14ac:dyDescent="0.25">
      <c r="A65" s="85" t="s">
        <v>206</v>
      </c>
      <c r="B65" s="77" t="s">
        <v>123</v>
      </c>
      <c r="C65" s="21"/>
      <c r="D65" s="43"/>
      <c r="E65" s="43">
        <f t="shared" si="31"/>
        <v>16281000</v>
      </c>
      <c r="F65" s="43">
        <f t="shared" ref="F65:F69" si="35">SUM(G65:J65)</f>
        <v>5427000</v>
      </c>
      <c r="G65" s="49">
        <v>5427000</v>
      </c>
      <c r="H65" s="49"/>
      <c r="I65" s="49"/>
      <c r="J65" s="49"/>
      <c r="K65" s="43">
        <f t="shared" ref="K65:K69" si="36">SUM(L65:O65)</f>
        <v>10854000</v>
      </c>
      <c r="L65" s="49">
        <f>5427000+5427000</f>
        <v>10854000</v>
      </c>
      <c r="M65" s="49"/>
      <c r="N65" s="49"/>
      <c r="O65" s="49"/>
      <c r="P65" s="43">
        <f t="shared" ref="P65:P69" si="37">SUM(Q65:T65)</f>
        <v>0</v>
      </c>
      <c r="Q65" s="49"/>
      <c r="R65" s="49"/>
      <c r="S65" s="49"/>
      <c r="T65" s="22"/>
    </row>
    <row r="66" spans="1:20" ht="45" outlineLevel="2" x14ac:dyDescent="0.25">
      <c r="A66" s="85" t="s">
        <v>207</v>
      </c>
      <c r="B66" s="77" t="s">
        <v>124</v>
      </c>
      <c r="C66" s="21"/>
      <c r="D66" s="43"/>
      <c r="E66" s="43">
        <f t="shared" si="31"/>
        <v>134410905</v>
      </c>
      <c r="F66" s="43">
        <f t="shared" si="35"/>
        <v>134410905</v>
      </c>
      <c r="G66" s="49">
        <v>38595805</v>
      </c>
      <c r="H66" s="49">
        <v>95815100</v>
      </c>
      <c r="I66" s="49"/>
      <c r="J66" s="49"/>
      <c r="K66" s="43">
        <f t="shared" si="36"/>
        <v>0</v>
      </c>
      <c r="L66" s="49"/>
      <c r="M66" s="49"/>
      <c r="N66" s="49"/>
      <c r="O66" s="49"/>
      <c r="P66" s="43">
        <f t="shared" si="37"/>
        <v>0</v>
      </c>
      <c r="Q66" s="49"/>
      <c r="R66" s="49"/>
      <c r="S66" s="49"/>
      <c r="T66" s="22"/>
    </row>
    <row r="67" spans="1:20" ht="52.5" customHeight="1" outlineLevel="2" thickBot="1" x14ac:dyDescent="0.3">
      <c r="A67" s="85" t="s">
        <v>208</v>
      </c>
      <c r="B67" s="80" t="s">
        <v>125</v>
      </c>
      <c r="C67" s="23"/>
      <c r="D67" s="44"/>
      <c r="E67" s="44">
        <f t="shared" si="31"/>
        <v>16247406</v>
      </c>
      <c r="F67" s="44">
        <f t="shared" si="35"/>
        <v>16247406</v>
      </c>
      <c r="G67" s="55">
        <v>16247406</v>
      </c>
      <c r="H67" s="55"/>
      <c r="I67" s="55"/>
      <c r="J67" s="55"/>
      <c r="K67" s="44">
        <f t="shared" si="36"/>
        <v>0</v>
      </c>
      <c r="L67" s="55"/>
      <c r="M67" s="55"/>
      <c r="N67" s="55"/>
      <c r="O67" s="55"/>
      <c r="P67" s="44">
        <f t="shared" si="37"/>
        <v>0</v>
      </c>
      <c r="Q67" s="55"/>
      <c r="R67" s="55"/>
      <c r="S67" s="55"/>
      <c r="T67" s="26"/>
    </row>
    <row r="68" spans="1:20" ht="78" customHeight="1" outlineLevel="1" thickBot="1" x14ac:dyDescent="0.3">
      <c r="A68" s="85"/>
      <c r="B68" s="92" t="s">
        <v>28</v>
      </c>
      <c r="C68" s="14"/>
      <c r="D68" s="56">
        <f>E68</f>
        <v>112693400</v>
      </c>
      <c r="E68" s="56">
        <f t="shared" si="31"/>
        <v>112693400</v>
      </c>
      <c r="F68" s="56">
        <f t="shared" si="35"/>
        <v>44294000</v>
      </c>
      <c r="G68" s="57">
        <v>20860100</v>
      </c>
      <c r="H68" s="57">
        <v>23433900</v>
      </c>
      <c r="I68" s="57">
        <v>0</v>
      </c>
      <c r="J68" s="57">
        <v>0</v>
      </c>
      <c r="K68" s="56">
        <f t="shared" si="36"/>
        <v>68399400</v>
      </c>
      <c r="L68" s="57">
        <f>20629900+20629900</f>
        <v>41259800</v>
      </c>
      <c r="M68" s="57">
        <v>27139600</v>
      </c>
      <c r="N68" s="57">
        <v>0</v>
      </c>
      <c r="O68" s="57">
        <v>0</v>
      </c>
      <c r="P68" s="56">
        <f t="shared" si="37"/>
        <v>0</v>
      </c>
      <c r="Q68" s="57">
        <v>0</v>
      </c>
      <c r="R68" s="57">
        <v>0</v>
      </c>
      <c r="S68" s="57">
        <v>0</v>
      </c>
      <c r="T68" s="33">
        <v>0</v>
      </c>
    </row>
    <row r="69" spans="1:20" ht="87.75" customHeight="1" outlineLevel="1" thickBot="1" x14ac:dyDescent="0.3">
      <c r="A69" s="85"/>
      <c r="B69" s="100" t="s">
        <v>58</v>
      </c>
      <c r="C69" s="29"/>
      <c r="D69" s="58">
        <f>E69</f>
        <v>295195461</v>
      </c>
      <c r="E69" s="58">
        <f t="shared" si="31"/>
        <v>295195461</v>
      </c>
      <c r="F69" s="58">
        <f t="shared" si="35"/>
        <v>188928876</v>
      </c>
      <c r="G69" s="59">
        <v>188928876</v>
      </c>
      <c r="H69" s="60"/>
      <c r="I69" s="60"/>
      <c r="J69" s="61"/>
      <c r="K69" s="58">
        <f t="shared" si="36"/>
        <v>106266585</v>
      </c>
      <c r="L69" s="61">
        <f>53693496+52573089</f>
        <v>106266585</v>
      </c>
      <c r="M69" s="61"/>
      <c r="N69" s="61"/>
      <c r="O69" s="61"/>
      <c r="P69" s="58">
        <f t="shared" si="37"/>
        <v>0</v>
      </c>
      <c r="Q69" s="61"/>
      <c r="R69" s="61"/>
      <c r="S69" s="61"/>
      <c r="T69" s="32"/>
    </row>
    <row r="70" spans="1:20" ht="49.5" customHeight="1" thickBot="1" x14ac:dyDescent="0.3">
      <c r="A70" s="85"/>
      <c r="B70" s="92" t="s">
        <v>96</v>
      </c>
      <c r="C70" s="14"/>
      <c r="D70" s="56">
        <f>D71+D85+D97+D100</f>
        <v>7139428022</v>
      </c>
      <c r="E70" s="56">
        <f>E71+E85+E97+E100</f>
        <v>7139428022</v>
      </c>
      <c r="F70" s="56">
        <f>F71+F85+F97+F100</f>
        <v>720443967</v>
      </c>
      <c r="G70" s="57">
        <f>G71+G85+G97+G100</f>
        <v>131695367</v>
      </c>
      <c r="H70" s="57">
        <f t="shared" ref="H70:J70" si="38">H71+H85+H97+H100</f>
        <v>588748600</v>
      </c>
      <c r="I70" s="57">
        <f t="shared" si="38"/>
        <v>0</v>
      </c>
      <c r="J70" s="57">
        <f t="shared" si="38"/>
        <v>0</v>
      </c>
      <c r="K70" s="56">
        <f>K71+K85+K97+K100</f>
        <v>1570565745</v>
      </c>
      <c r="L70" s="57">
        <f>L71+L85+L97+L100</f>
        <v>526822345</v>
      </c>
      <c r="M70" s="57">
        <f t="shared" ref="M70" si="39">M71+M85+M97+M100</f>
        <v>1043743400</v>
      </c>
      <c r="N70" s="57">
        <f t="shared" ref="N70" si="40">N71+N85+N97+N100</f>
        <v>0</v>
      </c>
      <c r="O70" s="57">
        <f t="shared" ref="O70" si="41">O71+O85+O97+O100</f>
        <v>0</v>
      </c>
      <c r="P70" s="56">
        <f>P71+P85+P97+P100</f>
        <v>4848418310</v>
      </c>
      <c r="Q70" s="57">
        <f>Q71+Q85+Q97+Q100</f>
        <v>4848418310</v>
      </c>
      <c r="R70" s="57">
        <f t="shared" ref="R70" si="42">R71+R85+R97+R100</f>
        <v>0</v>
      </c>
      <c r="S70" s="57">
        <f t="shared" ref="S70" si="43">S71+S85+S97+S100</f>
        <v>0</v>
      </c>
      <c r="T70" s="33">
        <f t="shared" ref="T70" si="44">T71+T85+T97+T100</f>
        <v>0</v>
      </c>
    </row>
    <row r="71" spans="1:20" ht="45.75" customHeight="1" outlineLevel="1" x14ac:dyDescent="0.25">
      <c r="A71" s="85"/>
      <c r="B71" s="93" t="s">
        <v>38</v>
      </c>
      <c r="C71" s="19"/>
      <c r="D71" s="37">
        <f>SUM(E72:E84)</f>
        <v>6473949186</v>
      </c>
      <c r="E71" s="37">
        <f t="shared" ref="E71:E101" si="45">F71+K71+P71</f>
        <v>6473949186</v>
      </c>
      <c r="F71" s="37">
        <f t="shared" ref="F71:F99" si="46">SUM(G71:J71)</f>
        <v>489932816</v>
      </c>
      <c r="G71" s="48">
        <f>SUM(G72:G84)</f>
        <v>41014216</v>
      </c>
      <c r="H71" s="48">
        <f t="shared" ref="H71:J71" si="47">SUM(H72:H84)</f>
        <v>448918600</v>
      </c>
      <c r="I71" s="48">
        <f t="shared" si="47"/>
        <v>0</v>
      </c>
      <c r="J71" s="48">
        <f t="shared" si="47"/>
        <v>0</v>
      </c>
      <c r="K71" s="37">
        <f t="shared" ref="K71:K99" si="48">SUM(L71:O71)</f>
        <v>1135598060</v>
      </c>
      <c r="L71" s="48">
        <f>SUM(L72:L84)</f>
        <v>190544660</v>
      </c>
      <c r="M71" s="48">
        <f t="shared" ref="M71:O71" si="49">SUM(M72:M84)</f>
        <v>945053400</v>
      </c>
      <c r="N71" s="48">
        <f t="shared" si="49"/>
        <v>0</v>
      </c>
      <c r="O71" s="48">
        <f t="shared" si="49"/>
        <v>0</v>
      </c>
      <c r="P71" s="37">
        <f t="shared" ref="P71:P99" si="50">SUM(Q71:T71)</f>
        <v>4848418310</v>
      </c>
      <c r="Q71" s="48">
        <f>SUM(Q72:Q84)</f>
        <v>4848418310</v>
      </c>
      <c r="R71" s="48">
        <f t="shared" ref="R71:T71" si="51">SUM(R72:R84)</f>
        <v>0</v>
      </c>
      <c r="S71" s="48">
        <f t="shared" si="51"/>
        <v>0</v>
      </c>
      <c r="T71" s="20">
        <f t="shared" si="51"/>
        <v>0</v>
      </c>
    </row>
    <row r="72" spans="1:20" ht="96" customHeight="1" outlineLevel="2" x14ac:dyDescent="0.25">
      <c r="A72" s="85" t="s">
        <v>209</v>
      </c>
      <c r="B72" s="77" t="s">
        <v>40</v>
      </c>
      <c r="C72" s="21"/>
      <c r="D72" s="43"/>
      <c r="E72" s="43">
        <f t="shared" si="45"/>
        <v>1547356782</v>
      </c>
      <c r="F72" s="43">
        <f t="shared" si="46"/>
        <v>477642122</v>
      </c>
      <c r="G72" s="49">
        <v>28723522</v>
      </c>
      <c r="H72" s="49">
        <v>448918600</v>
      </c>
      <c r="I72" s="49">
        <v>0</v>
      </c>
      <c r="J72" s="49">
        <v>0</v>
      </c>
      <c r="K72" s="43">
        <f t="shared" si="48"/>
        <v>994793060</v>
      </c>
      <c r="L72" s="49">
        <f>24869870+24869790</f>
        <v>49739660</v>
      </c>
      <c r="M72" s="49">
        <f>472527500+472525900</f>
        <v>945053400</v>
      </c>
      <c r="N72" s="49">
        <v>0</v>
      </c>
      <c r="O72" s="49">
        <v>0</v>
      </c>
      <c r="P72" s="43">
        <f t="shared" si="50"/>
        <v>74921600</v>
      </c>
      <c r="Q72" s="49">
        <v>74921600</v>
      </c>
      <c r="R72" s="49">
        <v>0</v>
      </c>
      <c r="S72" s="49">
        <v>0</v>
      </c>
      <c r="T72" s="22">
        <v>0</v>
      </c>
    </row>
    <row r="73" spans="1:20" ht="48" customHeight="1" outlineLevel="2" x14ac:dyDescent="0.25">
      <c r="A73" s="85" t="s">
        <v>210</v>
      </c>
      <c r="B73" s="77" t="s">
        <v>41</v>
      </c>
      <c r="C73" s="21"/>
      <c r="D73" s="43"/>
      <c r="E73" s="43">
        <f t="shared" si="45"/>
        <v>297266899</v>
      </c>
      <c r="F73" s="43">
        <f t="shared" si="46"/>
        <v>5620949</v>
      </c>
      <c r="G73" s="49">
        <v>5620949</v>
      </c>
      <c r="H73" s="49"/>
      <c r="I73" s="49"/>
      <c r="J73" s="49"/>
      <c r="K73" s="43">
        <f t="shared" si="48"/>
        <v>0</v>
      </c>
      <c r="L73" s="49"/>
      <c r="M73" s="49"/>
      <c r="N73" s="49"/>
      <c r="O73" s="49"/>
      <c r="P73" s="43">
        <f t="shared" si="50"/>
        <v>291645950</v>
      </c>
      <c r="Q73" s="49">
        <v>291645950</v>
      </c>
      <c r="R73" s="49"/>
      <c r="S73" s="49"/>
      <c r="T73" s="22"/>
    </row>
    <row r="74" spans="1:20" ht="49.5" customHeight="1" outlineLevel="2" x14ac:dyDescent="0.25">
      <c r="A74" s="85" t="s">
        <v>211</v>
      </c>
      <c r="B74" s="77" t="s">
        <v>42</v>
      </c>
      <c r="C74" s="21"/>
      <c r="D74" s="43"/>
      <c r="E74" s="43">
        <f t="shared" si="45"/>
        <v>492824616</v>
      </c>
      <c r="F74" s="43">
        <f t="shared" si="46"/>
        <v>3124616</v>
      </c>
      <c r="G74" s="49">
        <v>3124616</v>
      </c>
      <c r="H74" s="49"/>
      <c r="I74" s="49"/>
      <c r="J74" s="49"/>
      <c r="K74" s="43">
        <f t="shared" si="48"/>
        <v>0</v>
      </c>
      <c r="L74" s="49"/>
      <c r="M74" s="49"/>
      <c r="N74" s="49"/>
      <c r="O74" s="49"/>
      <c r="P74" s="43">
        <f t="shared" si="50"/>
        <v>489700000</v>
      </c>
      <c r="Q74" s="49">
        <f>289700000+200000000</f>
        <v>489700000</v>
      </c>
      <c r="R74" s="49"/>
      <c r="S74" s="49"/>
      <c r="T74" s="22"/>
    </row>
    <row r="75" spans="1:20" ht="63" customHeight="1" outlineLevel="2" x14ac:dyDescent="0.25">
      <c r="A75" s="85" t="s">
        <v>212</v>
      </c>
      <c r="B75" s="77" t="s">
        <v>43</v>
      </c>
      <c r="C75" s="21"/>
      <c r="D75" s="43"/>
      <c r="E75" s="43">
        <f t="shared" si="45"/>
        <v>140805000</v>
      </c>
      <c r="F75" s="43">
        <f t="shared" si="46"/>
        <v>0</v>
      </c>
      <c r="G75" s="49"/>
      <c r="H75" s="49"/>
      <c r="I75" s="49"/>
      <c r="J75" s="49"/>
      <c r="K75" s="43">
        <f>SUM(L75:O75)</f>
        <v>140805000</v>
      </c>
      <c r="L75" s="49">
        <v>140805000</v>
      </c>
      <c r="M75" s="49"/>
      <c r="N75" s="49"/>
      <c r="O75" s="49"/>
      <c r="P75" s="43">
        <f t="shared" si="50"/>
        <v>0</v>
      </c>
      <c r="Q75" s="49"/>
      <c r="R75" s="49"/>
      <c r="S75" s="49"/>
      <c r="T75" s="22"/>
    </row>
    <row r="76" spans="1:20" ht="51.75" customHeight="1" outlineLevel="2" x14ac:dyDescent="0.25">
      <c r="A76" s="85" t="s">
        <v>213</v>
      </c>
      <c r="B76" s="77" t="s">
        <v>44</v>
      </c>
      <c r="C76" s="21"/>
      <c r="D76" s="43"/>
      <c r="E76" s="43">
        <f t="shared" si="45"/>
        <v>407000000</v>
      </c>
      <c r="F76" s="43">
        <f t="shared" si="46"/>
        <v>0</v>
      </c>
      <c r="G76" s="49"/>
      <c r="H76" s="49"/>
      <c r="I76" s="49"/>
      <c r="J76" s="49"/>
      <c r="K76" s="43">
        <f t="shared" si="48"/>
        <v>0</v>
      </c>
      <c r="L76" s="49"/>
      <c r="M76" s="49"/>
      <c r="N76" s="49"/>
      <c r="O76" s="49"/>
      <c r="P76" s="43">
        <f t="shared" si="50"/>
        <v>407000000</v>
      </c>
      <c r="Q76" s="49">
        <f>207000000+200000000</f>
        <v>407000000</v>
      </c>
      <c r="R76" s="49"/>
      <c r="S76" s="49"/>
      <c r="T76" s="22"/>
    </row>
    <row r="77" spans="1:20" ht="66.75" customHeight="1" outlineLevel="2" x14ac:dyDescent="0.25">
      <c r="A77" s="85" t="s">
        <v>214</v>
      </c>
      <c r="B77" s="77" t="s">
        <v>45</v>
      </c>
      <c r="C77" s="21"/>
      <c r="D77" s="43"/>
      <c r="E77" s="43">
        <f t="shared" si="45"/>
        <v>149000000</v>
      </c>
      <c r="F77" s="43">
        <f t="shared" si="46"/>
        <v>0</v>
      </c>
      <c r="G77" s="49"/>
      <c r="H77" s="49"/>
      <c r="I77" s="49"/>
      <c r="J77" s="49"/>
      <c r="K77" s="43">
        <f t="shared" si="48"/>
        <v>0</v>
      </c>
      <c r="L77" s="49"/>
      <c r="M77" s="49"/>
      <c r="N77" s="49"/>
      <c r="O77" s="49"/>
      <c r="P77" s="43">
        <f t="shared" si="50"/>
        <v>149000000</v>
      </c>
      <c r="Q77" s="49">
        <v>149000000</v>
      </c>
      <c r="R77" s="49"/>
      <c r="S77" s="49"/>
      <c r="T77" s="22"/>
    </row>
    <row r="78" spans="1:20" ht="54" customHeight="1" outlineLevel="2" x14ac:dyDescent="0.25">
      <c r="A78" s="85" t="s">
        <v>215</v>
      </c>
      <c r="B78" s="77" t="s">
        <v>46</v>
      </c>
      <c r="C78" s="21"/>
      <c r="D78" s="43"/>
      <c r="E78" s="43">
        <f t="shared" si="45"/>
        <v>258000000</v>
      </c>
      <c r="F78" s="43">
        <f t="shared" si="46"/>
        <v>0</v>
      </c>
      <c r="G78" s="49"/>
      <c r="H78" s="49"/>
      <c r="I78" s="49"/>
      <c r="J78" s="49"/>
      <c r="K78" s="43">
        <f t="shared" si="48"/>
        <v>0</v>
      </c>
      <c r="L78" s="52"/>
      <c r="M78" s="49"/>
      <c r="N78" s="49"/>
      <c r="O78" s="49"/>
      <c r="P78" s="43">
        <f t="shared" si="50"/>
        <v>258000000</v>
      </c>
      <c r="Q78" s="49">
        <v>258000000</v>
      </c>
      <c r="R78" s="49"/>
      <c r="S78" s="49"/>
      <c r="T78" s="22"/>
    </row>
    <row r="79" spans="1:20" ht="54" customHeight="1" outlineLevel="2" x14ac:dyDescent="0.25">
      <c r="A79" s="85" t="s">
        <v>216</v>
      </c>
      <c r="B79" s="77" t="s">
        <v>47</v>
      </c>
      <c r="C79" s="21"/>
      <c r="D79" s="43"/>
      <c r="E79" s="43">
        <f t="shared" si="45"/>
        <v>607700000</v>
      </c>
      <c r="F79" s="43">
        <f t="shared" si="46"/>
        <v>0</v>
      </c>
      <c r="G79" s="49"/>
      <c r="H79" s="49"/>
      <c r="I79" s="49"/>
      <c r="J79" s="49"/>
      <c r="K79" s="43">
        <f t="shared" si="48"/>
        <v>0</v>
      </c>
      <c r="L79" s="52"/>
      <c r="M79" s="49"/>
      <c r="N79" s="49"/>
      <c r="O79" s="49"/>
      <c r="P79" s="43">
        <f t="shared" si="50"/>
        <v>607700000</v>
      </c>
      <c r="Q79" s="49">
        <f>307700000+300000000</f>
        <v>607700000</v>
      </c>
      <c r="R79" s="49"/>
      <c r="S79" s="49"/>
      <c r="T79" s="22"/>
    </row>
    <row r="80" spans="1:20" ht="49.5" customHeight="1" outlineLevel="2" x14ac:dyDescent="0.25">
      <c r="A80" s="85" t="s">
        <v>217</v>
      </c>
      <c r="B80" s="77" t="s">
        <v>48</v>
      </c>
      <c r="C80" s="21"/>
      <c r="D80" s="43"/>
      <c r="E80" s="43">
        <f t="shared" si="45"/>
        <v>388000000</v>
      </c>
      <c r="F80" s="43">
        <f t="shared" si="46"/>
        <v>0</v>
      </c>
      <c r="G80" s="49"/>
      <c r="H80" s="49"/>
      <c r="I80" s="49"/>
      <c r="J80" s="49"/>
      <c r="K80" s="43">
        <f t="shared" si="48"/>
        <v>0</v>
      </c>
      <c r="L80" s="52"/>
      <c r="M80" s="49"/>
      <c r="N80" s="49"/>
      <c r="O80" s="49"/>
      <c r="P80" s="43">
        <f t="shared" si="50"/>
        <v>388000000</v>
      </c>
      <c r="Q80" s="49">
        <v>388000000</v>
      </c>
      <c r="R80" s="49"/>
      <c r="S80" s="49"/>
      <c r="T80" s="22"/>
    </row>
    <row r="81" spans="1:20" ht="64.5" customHeight="1" outlineLevel="2" x14ac:dyDescent="0.25">
      <c r="A81" s="85" t="s">
        <v>218</v>
      </c>
      <c r="B81" s="77" t="s">
        <v>49</v>
      </c>
      <c r="C81" s="21"/>
      <c r="D81" s="43"/>
      <c r="E81" s="43">
        <f t="shared" si="45"/>
        <v>679000000</v>
      </c>
      <c r="F81" s="43">
        <f t="shared" si="46"/>
        <v>0</v>
      </c>
      <c r="G81" s="49"/>
      <c r="H81" s="49"/>
      <c r="I81" s="49"/>
      <c r="J81" s="49"/>
      <c r="K81" s="43">
        <f t="shared" si="48"/>
        <v>0</v>
      </c>
      <c r="L81" s="52"/>
      <c r="M81" s="49"/>
      <c r="N81" s="49"/>
      <c r="O81" s="49"/>
      <c r="P81" s="43">
        <f t="shared" si="50"/>
        <v>679000000</v>
      </c>
      <c r="Q81" s="49">
        <v>679000000</v>
      </c>
      <c r="R81" s="49"/>
      <c r="S81" s="49"/>
      <c r="T81" s="22"/>
    </row>
    <row r="82" spans="1:20" ht="79.5" customHeight="1" outlineLevel="2" x14ac:dyDescent="0.25">
      <c r="A82" s="85" t="s">
        <v>219</v>
      </c>
      <c r="B82" s="77" t="s">
        <v>50</v>
      </c>
      <c r="C82" s="21"/>
      <c r="D82" s="43"/>
      <c r="E82" s="43">
        <f t="shared" si="45"/>
        <v>329828889</v>
      </c>
      <c r="F82" s="43">
        <f t="shared" si="46"/>
        <v>3545129</v>
      </c>
      <c r="G82" s="49">
        <v>3545129</v>
      </c>
      <c r="H82" s="49"/>
      <c r="I82" s="49"/>
      <c r="J82" s="49"/>
      <c r="K82" s="43">
        <f t="shared" si="48"/>
        <v>0</v>
      </c>
      <c r="L82" s="52"/>
      <c r="M82" s="49"/>
      <c r="N82" s="49"/>
      <c r="O82" s="49"/>
      <c r="P82" s="43">
        <f>SUM(Q82:T82)</f>
        <v>326283760</v>
      </c>
      <c r="Q82" s="49">
        <v>326283760</v>
      </c>
      <c r="R82" s="49"/>
      <c r="S82" s="49"/>
      <c r="T82" s="22"/>
    </row>
    <row r="83" spans="1:20" ht="51" customHeight="1" outlineLevel="2" x14ac:dyDescent="0.25">
      <c r="A83" s="85" t="s">
        <v>220</v>
      </c>
      <c r="B83" s="77" t="s">
        <v>39</v>
      </c>
      <c r="C83" s="21"/>
      <c r="D83" s="43"/>
      <c r="E83" s="43">
        <f t="shared" si="45"/>
        <v>889000000</v>
      </c>
      <c r="F83" s="43">
        <f t="shared" si="46"/>
        <v>0</v>
      </c>
      <c r="G83" s="49"/>
      <c r="H83" s="49"/>
      <c r="I83" s="49"/>
      <c r="J83" s="49"/>
      <c r="K83" s="43">
        <f t="shared" si="48"/>
        <v>0</v>
      </c>
      <c r="L83" s="49"/>
      <c r="M83" s="49"/>
      <c r="N83" s="49"/>
      <c r="O83" s="49"/>
      <c r="P83" s="43">
        <f t="shared" si="50"/>
        <v>889000000</v>
      </c>
      <c r="Q83" s="49">
        <f>250000000+250000000+389000000</f>
        <v>889000000</v>
      </c>
      <c r="R83" s="49"/>
      <c r="S83" s="49"/>
      <c r="T83" s="22"/>
    </row>
    <row r="84" spans="1:20" ht="98.25" customHeight="1" outlineLevel="2" thickBot="1" x14ac:dyDescent="0.3">
      <c r="A84" s="85" t="s">
        <v>221</v>
      </c>
      <c r="B84" s="80" t="s">
        <v>51</v>
      </c>
      <c r="C84" s="23"/>
      <c r="D84" s="44"/>
      <c r="E84" s="44">
        <f t="shared" si="45"/>
        <v>288167000</v>
      </c>
      <c r="F84" s="44">
        <f t="shared" si="46"/>
        <v>0</v>
      </c>
      <c r="G84" s="55"/>
      <c r="H84" s="55"/>
      <c r="I84" s="55"/>
      <c r="J84" s="55"/>
      <c r="K84" s="44">
        <f t="shared" si="48"/>
        <v>0</v>
      </c>
      <c r="L84" s="55"/>
      <c r="M84" s="55"/>
      <c r="N84" s="55"/>
      <c r="O84" s="55"/>
      <c r="P84" s="44">
        <f t="shared" si="50"/>
        <v>288167000</v>
      </c>
      <c r="Q84" s="55">
        <v>288167000</v>
      </c>
      <c r="R84" s="55"/>
      <c r="S84" s="55"/>
      <c r="T84" s="26"/>
    </row>
    <row r="85" spans="1:20" ht="76.5" customHeight="1" outlineLevel="1" x14ac:dyDescent="0.25">
      <c r="A85" s="85"/>
      <c r="B85" s="93" t="s">
        <v>57</v>
      </c>
      <c r="C85" s="19"/>
      <c r="D85" s="37">
        <f>SUM(E86:E96)</f>
        <v>455891396</v>
      </c>
      <c r="E85" s="37">
        <f t="shared" si="45"/>
        <v>455891396</v>
      </c>
      <c r="F85" s="37">
        <f t="shared" si="46"/>
        <v>134923711</v>
      </c>
      <c r="G85" s="48">
        <f>SUM(G86:G96)</f>
        <v>65093711</v>
      </c>
      <c r="H85" s="48">
        <f t="shared" ref="H85:J85" si="52">SUM(H86:H96)</f>
        <v>69830000</v>
      </c>
      <c r="I85" s="48">
        <f t="shared" si="52"/>
        <v>0</v>
      </c>
      <c r="J85" s="48">
        <f t="shared" si="52"/>
        <v>0</v>
      </c>
      <c r="K85" s="37">
        <f t="shared" si="48"/>
        <v>320967685</v>
      </c>
      <c r="L85" s="48">
        <f>SUM(L86:L96)</f>
        <v>222277685</v>
      </c>
      <c r="M85" s="48">
        <f t="shared" ref="M85:O85" si="53">SUM(M86:M96)</f>
        <v>98690000</v>
      </c>
      <c r="N85" s="48">
        <f t="shared" si="53"/>
        <v>0</v>
      </c>
      <c r="O85" s="48">
        <f t="shared" si="53"/>
        <v>0</v>
      </c>
      <c r="P85" s="37">
        <f t="shared" si="50"/>
        <v>0</v>
      </c>
      <c r="Q85" s="48">
        <f>SUM(Q86:Q96)</f>
        <v>0</v>
      </c>
      <c r="R85" s="48">
        <f t="shared" ref="R85:T85" si="54">SUM(R86:R96)</f>
        <v>0</v>
      </c>
      <c r="S85" s="48">
        <f t="shared" si="54"/>
        <v>0</v>
      </c>
      <c r="T85" s="20">
        <f t="shared" si="54"/>
        <v>0</v>
      </c>
    </row>
    <row r="86" spans="1:20" ht="30" outlineLevel="2" x14ac:dyDescent="0.25">
      <c r="A86" s="85" t="s">
        <v>222</v>
      </c>
      <c r="B86" s="77" t="s">
        <v>80</v>
      </c>
      <c r="C86" s="21"/>
      <c r="D86" s="43"/>
      <c r="E86" s="43">
        <f t="shared" si="45"/>
        <v>36211870</v>
      </c>
      <c r="F86" s="43">
        <f t="shared" si="46"/>
        <v>3357100</v>
      </c>
      <c r="G86" s="49">
        <v>3357100</v>
      </c>
      <c r="H86" s="49"/>
      <c r="I86" s="49"/>
      <c r="J86" s="49"/>
      <c r="K86" s="43">
        <f t="shared" si="48"/>
        <v>32854770</v>
      </c>
      <c r="L86" s="49">
        <f>2466770+8187000</f>
        <v>10653770</v>
      </c>
      <c r="M86" s="49">
        <v>22201000</v>
      </c>
      <c r="N86" s="49"/>
      <c r="O86" s="49"/>
      <c r="P86" s="43">
        <f t="shared" si="50"/>
        <v>0</v>
      </c>
      <c r="Q86" s="49"/>
      <c r="R86" s="49"/>
      <c r="S86" s="49"/>
      <c r="T86" s="22"/>
    </row>
    <row r="87" spans="1:20" ht="30" outlineLevel="2" x14ac:dyDescent="0.25">
      <c r="A87" s="85" t="s">
        <v>223</v>
      </c>
      <c r="B87" s="77" t="s">
        <v>79</v>
      </c>
      <c r="C87" s="21"/>
      <c r="D87" s="43"/>
      <c r="E87" s="43">
        <f t="shared" si="45"/>
        <v>50195276</v>
      </c>
      <c r="F87" s="43">
        <f t="shared" si="46"/>
        <v>50195276</v>
      </c>
      <c r="G87" s="49">
        <v>18707276</v>
      </c>
      <c r="H87" s="49">
        <v>31488000</v>
      </c>
      <c r="I87" s="49"/>
      <c r="J87" s="49"/>
      <c r="K87" s="43">
        <f t="shared" si="48"/>
        <v>0</v>
      </c>
      <c r="L87" s="49">
        <v>0</v>
      </c>
      <c r="M87" s="49"/>
      <c r="N87" s="49"/>
      <c r="O87" s="49"/>
      <c r="P87" s="43">
        <f t="shared" si="50"/>
        <v>0</v>
      </c>
      <c r="Q87" s="49"/>
      <c r="R87" s="49"/>
      <c r="S87" s="49"/>
      <c r="T87" s="22"/>
    </row>
    <row r="88" spans="1:20" ht="30" outlineLevel="2" x14ac:dyDescent="0.25">
      <c r="A88" s="85" t="s">
        <v>224</v>
      </c>
      <c r="B88" s="77" t="s">
        <v>81</v>
      </c>
      <c r="C88" s="21"/>
      <c r="D88" s="43"/>
      <c r="E88" s="43">
        <f t="shared" si="45"/>
        <v>48896036</v>
      </c>
      <c r="F88" s="43">
        <f t="shared" si="46"/>
        <v>1672596</v>
      </c>
      <c r="G88" s="49">
        <v>1672596</v>
      </c>
      <c r="H88" s="49"/>
      <c r="I88" s="49"/>
      <c r="J88" s="49"/>
      <c r="K88" s="43">
        <f t="shared" si="48"/>
        <v>47223440</v>
      </c>
      <c r="L88" s="49">
        <f>4444440+2779000</f>
        <v>7223440</v>
      </c>
      <c r="M88" s="49">
        <v>40000000</v>
      </c>
      <c r="N88" s="49"/>
      <c r="O88" s="49"/>
      <c r="P88" s="43">
        <f t="shared" si="50"/>
        <v>0</v>
      </c>
      <c r="Q88" s="49"/>
      <c r="R88" s="49"/>
      <c r="S88" s="49"/>
      <c r="T88" s="22"/>
    </row>
    <row r="89" spans="1:20" ht="60" outlineLevel="2" x14ac:dyDescent="0.25">
      <c r="A89" s="85" t="s">
        <v>225</v>
      </c>
      <c r="B89" s="77" t="s">
        <v>126</v>
      </c>
      <c r="C89" s="21"/>
      <c r="D89" s="43"/>
      <c r="E89" s="43">
        <f t="shared" si="45"/>
        <v>48498967</v>
      </c>
      <c r="F89" s="43">
        <f t="shared" si="46"/>
        <v>48498967</v>
      </c>
      <c r="G89" s="49">
        <v>10156967</v>
      </c>
      <c r="H89" s="49">
        <v>38342000</v>
      </c>
      <c r="I89" s="49"/>
      <c r="J89" s="49"/>
      <c r="K89" s="43">
        <f t="shared" si="48"/>
        <v>0</v>
      </c>
      <c r="L89" s="49">
        <v>0</v>
      </c>
      <c r="M89" s="49"/>
      <c r="N89" s="49"/>
      <c r="O89" s="49"/>
      <c r="P89" s="43">
        <f t="shared" si="50"/>
        <v>0</v>
      </c>
      <c r="Q89" s="49"/>
      <c r="R89" s="49"/>
      <c r="S89" s="49"/>
      <c r="T89" s="22"/>
    </row>
    <row r="90" spans="1:20" ht="36" customHeight="1" outlineLevel="2" x14ac:dyDescent="0.25">
      <c r="A90" s="85" t="s">
        <v>226</v>
      </c>
      <c r="B90" s="77" t="s">
        <v>127</v>
      </c>
      <c r="C90" s="21"/>
      <c r="D90" s="43"/>
      <c r="E90" s="43">
        <f t="shared" si="45"/>
        <v>2047399</v>
      </c>
      <c r="F90" s="43">
        <f t="shared" si="46"/>
        <v>2047399</v>
      </c>
      <c r="G90" s="49">
        <v>2047399</v>
      </c>
      <c r="H90" s="49"/>
      <c r="I90" s="49"/>
      <c r="J90" s="49"/>
      <c r="K90" s="43">
        <f t="shared" si="48"/>
        <v>0</v>
      </c>
      <c r="L90" s="49">
        <v>0</v>
      </c>
      <c r="M90" s="49"/>
      <c r="N90" s="49"/>
      <c r="O90" s="49"/>
      <c r="P90" s="43">
        <f t="shared" si="50"/>
        <v>0</v>
      </c>
      <c r="Q90" s="49"/>
      <c r="R90" s="49"/>
      <c r="S90" s="49"/>
      <c r="T90" s="22"/>
    </row>
    <row r="91" spans="1:20" ht="48.75" customHeight="1" outlineLevel="2" x14ac:dyDescent="0.25">
      <c r="A91" s="85" t="s">
        <v>227</v>
      </c>
      <c r="B91" s="77" t="s">
        <v>128</v>
      </c>
      <c r="C91" s="21"/>
      <c r="D91" s="43"/>
      <c r="E91" s="43">
        <f t="shared" si="45"/>
        <v>40544000</v>
      </c>
      <c r="F91" s="43">
        <f t="shared" si="46"/>
        <v>0</v>
      </c>
      <c r="G91" s="49">
        <v>0</v>
      </c>
      <c r="H91" s="49"/>
      <c r="I91" s="49"/>
      <c r="J91" s="49"/>
      <c r="K91" s="43">
        <f t="shared" si="48"/>
        <v>40544000</v>
      </c>
      <c r="L91" s="49">
        <v>4055000</v>
      </c>
      <c r="M91" s="49">
        <v>36489000</v>
      </c>
      <c r="N91" s="49"/>
      <c r="O91" s="49"/>
      <c r="P91" s="43">
        <f t="shared" si="50"/>
        <v>0</v>
      </c>
      <c r="Q91" s="49"/>
      <c r="R91" s="49"/>
      <c r="S91" s="49"/>
      <c r="T91" s="22"/>
    </row>
    <row r="92" spans="1:20" ht="30" outlineLevel="2" x14ac:dyDescent="0.25">
      <c r="A92" s="85" t="s">
        <v>228</v>
      </c>
      <c r="B92" s="77" t="s">
        <v>129</v>
      </c>
      <c r="C92" s="21"/>
      <c r="D92" s="43"/>
      <c r="E92" s="43">
        <f t="shared" si="45"/>
        <v>179026919</v>
      </c>
      <c r="F92" s="43">
        <f t="shared" si="46"/>
        <v>11412644</v>
      </c>
      <c r="G92" s="49">
        <v>11412644</v>
      </c>
      <c r="H92" s="49"/>
      <c r="I92" s="49"/>
      <c r="J92" s="49"/>
      <c r="K92" s="43">
        <f t="shared" si="48"/>
        <v>167614275</v>
      </c>
      <c r="L92" s="49">
        <f>40949976+126664299</f>
        <v>167614275</v>
      </c>
      <c r="M92" s="49"/>
      <c r="N92" s="49"/>
      <c r="O92" s="49"/>
      <c r="P92" s="43">
        <f t="shared" si="50"/>
        <v>0</v>
      </c>
      <c r="Q92" s="49"/>
      <c r="R92" s="49"/>
      <c r="S92" s="49"/>
      <c r="T92" s="22"/>
    </row>
    <row r="93" spans="1:20" ht="45" outlineLevel="2" x14ac:dyDescent="0.25">
      <c r="A93" s="85" t="s">
        <v>229</v>
      </c>
      <c r="B93" s="77" t="s">
        <v>88</v>
      </c>
      <c r="C93" s="21"/>
      <c r="D93" s="43"/>
      <c r="E93" s="43">
        <f t="shared" si="45"/>
        <v>9970340</v>
      </c>
      <c r="F93" s="43">
        <f t="shared" si="46"/>
        <v>9970340</v>
      </c>
      <c r="G93" s="49">
        <v>9970340</v>
      </c>
      <c r="H93" s="49"/>
      <c r="I93" s="49"/>
      <c r="J93" s="49"/>
      <c r="K93" s="43">
        <f t="shared" si="48"/>
        <v>0</v>
      </c>
      <c r="L93" s="49"/>
      <c r="M93" s="49"/>
      <c r="N93" s="49"/>
      <c r="O93" s="49"/>
      <c r="P93" s="43">
        <f t="shared" si="50"/>
        <v>0</v>
      </c>
      <c r="Q93" s="49"/>
      <c r="R93" s="49"/>
      <c r="S93" s="49"/>
      <c r="T93" s="22"/>
    </row>
    <row r="94" spans="1:20" ht="45" outlineLevel="2" x14ac:dyDescent="0.25">
      <c r="A94" s="85" t="s">
        <v>230</v>
      </c>
      <c r="B94" s="77" t="s">
        <v>89</v>
      </c>
      <c r="C94" s="21"/>
      <c r="D94" s="43"/>
      <c r="E94" s="43">
        <f t="shared" si="45"/>
        <v>7116781</v>
      </c>
      <c r="F94" s="43">
        <f t="shared" si="46"/>
        <v>7116781</v>
      </c>
      <c r="G94" s="49">
        <v>7116781</v>
      </c>
      <c r="H94" s="49"/>
      <c r="I94" s="49"/>
      <c r="J94" s="49"/>
      <c r="K94" s="43">
        <f t="shared" si="48"/>
        <v>0</v>
      </c>
      <c r="L94" s="49"/>
      <c r="M94" s="49"/>
      <c r="N94" s="49"/>
      <c r="O94" s="49"/>
      <c r="P94" s="43">
        <f t="shared" si="50"/>
        <v>0</v>
      </c>
      <c r="Q94" s="49"/>
      <c r="R94" s="49"/>
      <c r="S94" s="49"/>
      <c r="T94" s="22"/>
    </row>
    <row r="95" spans="1:20" ht="45" outlineLevel="2" x14ac:dyDescent="0.25">
      <c r="A95" s="85" t="s">
        <v>231</v>
      </c>
      <c r="B95" s="77" t="s">
        <v>130</v>
      </c>
      <c r="C95" s="21"/>
      <c r="D95" s="43"/>
      <c r="E95" s="43">
        <f t="shared" si="45"/>
        <v>652608</v>
      </c>
      <c r="F95" s="43">
        <f t="shared" si="46"/>
        <v>652608</v>
      </c>
      <c r="G95" s="49">
        <v>652608</v>
      </c>
      <c r="H95" s="49"/>
      <c r="I95" s="49"/>
      <c r="J95" s="49"/>
      <c r="K95" s="43">
        <f t="shared" si="48"/>
        <v>0</v>
      </c>
      <c r="L95" s="49"/>
      <c r="M95" s="49"/>
      <c r="N95" s="49"/>
      <c r="O95" s="49"/>
      <c r="P95" s="43">
        <f t="shared" si="50"/>
        <v>0</v>
      </c>
      <c r="Q95" s="49"/>
      <c r="R95" s="49"/>
      <c r="S95" s="49"/>
      <c r="T95" s="22"/>
    </row>
    <row r="96" spans="1:20" ht="24.75" customHeight="1" outlineLevel="2" thickBot="1" x14ac:dyDescent="0.3">
      <c r="A96" s="85" t="s">
        <v>232</v>
      </c>
      <c r="B96" s="96" t="s">
        <v>90</v>
      </c>
      <c r="C96" s="34"/>
      <c r="D96" s="51"/>
      <c r="E96" s="51">
        <f t="shared" si="45"/>
        <v>32731200</v>
      </c>
      <c r="F96" s="51">
        <f t="shared" si="46"/>
        <v>0</v>
      </c>
      <c r="G96" s="50">
        <v>0</v>
      </c>
      <c r="H96" s="50"/>
      <c r="I96" s="50"/>
      <c r="J96" s="50"/>
      <c r="K96" s="51">
        <f t="shared" si="48"/>
        <v>32731200</v>
      </c>
      <c r="L96" s="50">
        <v>32731200</v>
      </c>
      <c r="M96" s="50"/>
      <c r="N96" s="50"/>
      <c r="O96" s="50"/>
      <c r="P96" s="51">
        <f t="shared" si="50"/>
        <v>0</v>
      </c>
      <c r="Q96" s="50"/>
      <c r="R96" s="50"/>
      <c r="S96" s="50"/>
      <c r="T96" s="35"/>
    </row>
    <row r="97" spans="1:20" ht="51" customHeight="1" outlineLevel="1" x14ac:dyDescent="0.25">
      <c r="A97" s="85"/>
      <c r="B97" s="101" t="s">
        <v>65</v>
      </c>
      <c r="C97" s="36"/>
      <c r="D97" s="62">
        <f>E98+E99</f>
        <v>105622998</v>
      </c>
      <c r="E97" s="62">
        <f t="shared" si="45"/>
        <v>105622998</v>
      </c>
      <c r="F97" s="62">
        <f t="shared" si="46"/>
        <v>91622998</v>
      </c>
      <c r="G97" s="63">
        <f>SUM(G98:G99)</f>
        <v>21622998</v>
      </c>
      <c r="H97" s="63">
        <f t="shared" ref="H97:J97" si="55">SUM(H98:H99)</f>
        <v>70000000</v>
      </c>
      <c r="I97" s="63">
        <f t="shared" si="55"/>
        <v>0</v>
      </c>
      <c r="J97" s="63">
        <f t="shared" si="55"/>
        <v>0</v>
      </c>
      <c r="K97" s="62">
        <f t="shared" si="48"/>
        <v>14000000</v>
      </c>
      <c r="L97" s="63">
        <f>SUM(L98:L99)</f>
        <v>14000000</v>
      </c>
      <c r="M97" s="63">
        <f t="shared" ref="M97:O97" si="56">SUM(M98:M99)</f>
        <v>0</v>
      </c>
      <c r="N97" s="63">
        <f t="shared" si="56"/>
        <v>0</v>
      </c>
      <c r="O97" s="63">
        <f t="shared" si="56"/>
        <v>0</v>
      </c>
      <c r="P97" s="62">
        <f t="shared" si="50"/>
        <v>0</v>
      </c>
      <c r="Q97" s="63">
        <f>SUM(Q98:Q99)</f>
        <v>0</v>
      </c>
      <c r="R97" s="63">
        <f t="shared" ref="R97:T97" si="57">SUM(R98:R99)</f>
        <v>0</v>
      </c>
      <c r="S97" s="63">
        <f t="shared" si="57"/>
        <v>0</v>
      </c>
      <c r="T97" s="47">
        <f t="shared" si="57"/>
        <v>0</v>
      </c>
    </row>
    <row r="98" spans="1:20" ht="30" outlineLevel="2" x14ac:dyDescent="0.25">
      <c r="A98" s="85" t="s">
        <v>233</v>
      </c>
      <c r="B98" s="77" t="s">
        <v>131</v>
      </c>
      <c r="C98" s="21"/>
      <c r="D98" s="43"/>
      <c r="E98" s="43">
        <f t="shared" si="45"/>
        <v>76927350</v>
      </c>
      <c r="F98" s="43">
        <f t="shared" si="46"/>
        <v>76927350</v>
      </c>
      <c r="G98" s="49">
        <v>6927350</v>
      </c>
      <c r="H98" s="49">
        <v>70000000</v>
      </c>
      <c r="I98" s="49"/>
      <c r="J98" s="49"/>
      <c r="K98" s="43">
        <f t="shared" si="48"/>
        <v>0</v>
      </c>
      <c r="L98" s="49"/>
      <c r="M98" s="49"/>
      <c r="N98" s="49"/>
      <c r="O98" s="49"/>
      <c r="P98" s="43">
        <f t="shared" si="50"/>
        <v>0</v>
      </c>
      <c r="Q98" s="49"/>
      <c r="R98" s="49"/>
      <c r="S98" s="49"/>
      <c r="T98" s="22"/>
    </row>
    <row r="99" spans="1:20" ht="36.75" customHeight="1" outlineLevel="2" thickBot="1" x14ac:dyDescent="0.3">
      <c r="A99" s="85" t="s">
        <v>234</v>
      </c>
      <c r="B99" s="80" t="s">
        <v>132</v>
      </c>
      <c r="C99" s="23"/>
      <c r="D99" s="44"/>
      <c r="E99" s="44">
        <f t="shared" si="45"/>
        <v>28695648</v>
      </c>
      <c r="F99" s="44">
        <f t="shared" si="46"/>
        <v>14695648</v>
      </c>
      <c r="G99" s="55">
        <v>14695648</v>
      </c>
      <c r="H99" s="55"/>
      <c r="I99" s="55"/>
      <c r="J99" s="55"/>
      <c r="K99" s="44">
        <f t="shared" si="48"/>
        <v>14000000</v>
      </c>
      <c r="L99" s="55">
        <f>7000000+7000000</f>
        <v>14000000</v>
      </c>
      <c r="M99" s="55"/>
      <c r="N99" s="55"/>
      <c r="O99" s="55"/>
      <c r="P99" s="44">
        <f t="shared" si="50"/>
        <v>0</v>
      </c>
      <c r="Q99" s="55"/>
      <c r="R99" s="55"/>
      <c r="S99" s="55"/>
      <c r="T99" s="26"/>
    </row>
    <row r="100" spans="1:20" ht="75" customHeight="1" outlineLevel="1" x14ac:dyDescent="0.25">
      <c r="A100" s="85"/>
      <c r="B100" s="101" t="s">
        <v>75</v>
      </c>
      <c r="C100" s="36"/>
      <c r="D100" s="62">
        <f>E101</f>
        <v>103964442</v>
      </c>
      <c r="E100" s="62">
        <f t="shared" si="45"/>
        <v>103964442</v>
      </c>
      <c r="F100" s="62">
        <f>SUM(G100:J100)</f>
        <v>3964442</v>
      </c>
      <c r="G100" s="63">
        <f>SUM(G101)</f>
        <v>3964442</v>
      </c>
      <c r="H100" s="63">
        <f t="shared" ref="H100:J100" si="58">SUM(H101)</f>
        <v>0</v>
      </c>
      <c r="I100" s="63">
        <f t="shared" si="58"/>
        <v>0</v>
      </c>
      <c r="J100" s="63">
        <f t="shared" si="58"/>
        <v>0</v>
      </c>
      <c r="K100" s="62">
        <f>SUM(L100:O100)</f>
        <v>100000000</v>
      </c>
      <c r="L100" s="63">
        <f>SUM(L101)</f>
        <v>100000000</v>
      </c>
      <c r="M100" s="63">
        <f t="shared" ref="M100:O100" si="59">SUM(M101)</f>
        <v>0</v>
      </c>
      <c r="N100" s="63">
        <f t="shared" si="59"/>
        <v>0</v>
      </c>
      <c r="O100" s="63">
        <f t="shared" si="59"/>
        <v>0</v>
      </c>
      <c r="P100" s="62">
        <f>SUM(Q100:T100)</f>
        <v>0</v>
      </c>
      <c r="Q100" s="63">
        <f>SUM(Q101)</f>
        <v>0</v>
      </c>
      <c r="R100" s="63">
        <f t="shared" ref="R100:T100" si="60">SUM(R101)</f>
        <v>0</v>
      </c>
      <c r="S100" s="63">
        <f t="shared" si="60"/>
        <v>0</v>
      </c>
      <c r="T100" s="47">
        <f t="shared" si="60"/>
        <v>0</v>
      </c>
    </row>
    <row r="101" spans="1:20" ht="15.75" outlineLevel="2" thickBot="1" x14ac:dyDescent="0.3">
      <c r="A101" s="85" t="s">
        <v>235</v>
      </c>
      <c r="B101" s="80" t="s">
        <v>76</v>
      </c>
      <c r="C101" s="23"/>
      <c r="D101" s="44"/>
      <c r="E101" s="44">
        <f t="shared" si="45"/>
        <v>103964442</v>
      </c>
      <c r="F101" s="44">
        <f>SUM(G101:J101)</f>
        <v>3964442</v>
      </c>
      <c r="G101" s="55">
        <v>3964442</v>
      </c>
      <c r="H101" s="55"/>
      <c r="I101" s="55"/>
      <c r="J101" s="55"/>
      <c r="K101" s="44">
        <f>SUM(L101:O101)</f>
        <v>100000000</v>
      </c>
      <c r="L101" s="55">
        <f>50000000+50000000</f>
        <v>100000000</v>
      </c>
      <c r="M101" s="55"/>
      <c r="N101" s="55"/>
      <c r="O101" s="55"/>
      <c r="P101" s="44">
        <f>SUM(Q101:T101)</f>
        <v>0</v>
      </c>
      <c r="Q101" s="55"/>
      <c r="R101" s="55"/>
      <c r="S101" s="55"/>
      <c r="T101" s="26"/>
    </row>
    <row r="102" spans="1:20" ht="18.75" customHeight="1" thickBot="1" x14ac:dyDescent="0.3">
      <c r="A102" s="85"/>
      <c r="B102" s="92" t="s">
        <v>94</v>
      </c>
      <c r="C102" s="14"/>
      <c r="D102" s="56">
        <f>D103</f>
        <v>225303800</v>
      </c>
      <c r="E102" s="56">
        <f t="shared" ref="E102:T102" si="61">E103</f>
        <v>225303800</v>
      </c>
      <c r="F102" s="56">
        <f t="shared" si="61"/>
        <v>72179100</v>
      </c>
      <c r="G102" s="57">
        <f t="shared" si="61"/>
        <v>17443100</v>
      </c>
      <c r="H102" s="57">
        <f t="shared" si="61"/>
        <v>54736000</v>
      </c>
      <c r="I102" s="57">
        <f t="shared" si="61"/>
        <v>0</v>
      </c>
      <c r="J102" s="57">
        <f t="shared" si="61"/>
        <v>0</v>
      </c>
      <c r="K102" s="56">
        <f t="shared" si="61"/>
        <v>153124700</v>
      </c>
      <c r="L102" s="57">
        <f t="shared" si="61"/>
        <v>153124700</v>
      </c>
      <c r="M102" s="57">
        <f t="shared" si="61"/>
        <v>0</v>
      </c>
      <c r="N102" s="57">
        <f t="shared" si="61"/>
        <v>0</v>
      </c>
      <c r="O102" s="57">
        <f t="shared" si="61"/>
        <v>0</v>
      </c>
      <c r="P102" s="56">
        <f t="shared" si="61"/>
        <v>0</v>
      </c>
      <c r="Q102" s="57">
        <f t="shared" si="61"/>
        <v>0</v>
      </c>
      <c r="R102" s="57">
        <f t="shared" si="61"/>
        <v>0</v>
      </c>
      <c r="S102" s="57">
        <f t="shared" si="61"/>
        <v>0</v>
      </c>
      <c r="T102" s="33">
        <f t="shared" si="61"/>
        <v>0</v>
      </c>
    </row>
    <row r="103" spans="1:20" ht="49.5" customHeight="1" outlineLevel="1" x14ac:dyDescent="0.25">
      <c r="A103" s="85"/>
      <c r="B103" s="93" t="s">
        <v>77</v>
      </c>
      <c r="C103" s="19"/>
      <c r="D103" s="37">
        <f>SUM(E104:E110)</f>
        <v>225303800</v>
      </c>
      <c r="E103" s="37">
        <f t="shared" ref="E103:E110" si="62">F103+K103+P103</f>
        <v>225303800</v>
      </c>
      <c r="F103" s="37">
        <f t="shared" ref="F103:F110" si="63">SUM(G103:J103)</f>
        <v>72179100</v>
      </c>
      <c r="G103" s="48">
        <f>SUM(G104:G110)</f>
        <v>17443100</v>
      </c>
      <c r="H103" s="48">
        <f t="shared" ref="H103:J103" si="64">SUM(H104:H110)</f>
        <v>54736000</v>
      </c>
      <c r="I103" s="48">
        <f t="shared" si="64"/>
        <v>0</v>
      </c>
      <c r="J103" s="48">
        <f t="shared" si="64"/>
        <v>0</v>
      </c>
      <c r="K103" s="37">
        <f t="shared" ref="K103:K110" si="65">SUM(L103:O103)</f>
        <v>153124700</v>
      </c>
      <c r="L103" s="48">
        <f>SUM(L104:L110)</f>
        <v>153124700</v>
      </c>
      <c r="M103" s="48">
        <f t="shared" ref="M103:O103" si="66">SUM(M104:M110)</f>
        <v>0</v>
      </c>
      <c r="N103" s="48">
        <f t="shared" si="66"/>
        <v>0</v>
      </c>
      <c r="O103" s="48">
        <f t="shared" si="66"/>
        <v>0</v>
      </c>
      <c r="P103" s="37">
        <f t="shared" ref="P103:P110" si="67">SUM(Q103:T103)</f>
        <v>0</v>
      </c>
      <c r="Q103" s="48">
        <f>SUM(Q104:Q110)</f>
        <v>0</v>
      </c>
      <c r="R103" s="48">
        <f t="shared" ref="R103:T103" si="68">SUM(R104:R110)</f>
        <v>0</v>
      </c>
      <c r="S103" s="48">
        <f t="shared" si="68"/>
        <v>0</v>
      </c>
      <c r="T103" s="20">
        <f t="shared" si="68"/>
        <v>0</v>
      </c>
    </row>
    <row r="104" spans="1:20" ht="30" outlineLevel="2" x14ac:dyDescent="0.25">
      <c r="A104" s="85" t="s">
        <v>236</v>
      </c>
      <c r="B104" s="77" t="s">
        <v>133</v>
      </c>
      <c r="C104" s="21"/>
      <c r="D104" s="43"/>
      <c r="E104" s="43">
        <f t="shared" si="62"/>
        <v>58473400</v>
      </c>
      <c r="F104" s="43">
        <f t="shared" si="63"/>
        <v>58473400</v>
      </c>
      <c r="G104" s="49">
        <v>3737400</v>
      </c>
      <c r="H104" s="49">
        <v>54736000</v>
      </c>
      <c r="I104" s="49"/>
      <c r="J104" s="49"/>
      <c r="K104" s="43">
        <f t="shared" si="65"/>
        <v>0</v>
      </c>
      <c r="L104" s="49"/>
      <c r="M104" s="49"/>
      <c r="N104" s="49"/>
      <c r="O104" s="49"/>
      <c r="P104" s="43">
        <f t="shared" si="67"/>
        <v>0</v>
      </c>
      <c r="Q104" s="49"/>
      <c r="R104" s="49"/>
      <c r="S104" s="49"/>
      <c r="T104" s="22"/>
    </row>
    <row r="105" spans="1:20" outlineLevel="2" x14ac:dyDescent="0.25">
      <c r="A105" s="85" t="s">
        <v>237</v>
      </c>
      <c r="B105" s="77" t="s">
        <v>82</v>
      </c>
      <c r="C105" s="21"/>
      <c r="D105" s="43"/>
      <c r="E105" s="43">
        <f t="shared" si="62"/>
        <v>50254223.299999997</v>
      </c>
      <c r="F105" s="43">
        <f t="shared" si="63"/>
        <v>0</v>
      </c>
      <c r="G105" s="49">
        <v>0</v>
      </c>
      <c r="H105" s="49"/>
      <c r="I105" s="49"/>
      <c r="J105" s="49"/>
      <c r="K105" s="43">
        <f t="shared" si="65"/>
        <v>50254223.299999997</v>
      </c>
      <c r="L105" s="49">
        <v>50254223.299999997</v>
      </c>
      <c r="M105" s="49"/>
      <c r="N105" s="49"/>
      <c r="O105" s="49"/>
      <c r="P105" s="43">
        <f t="shared" si="67"/>
        <v>0</v>
      </c>
      <c r="Q105" s="49"/>
      <c r="R105" s="49"/>
      <c r="S105" s="49"/>
      <c r="T105" s="22"/>
    </row>
    <row r="106" spans="1:20" outlineLevel="2" x14ac:dyDescent="0.25">
      <c r="A106" s="85" t="s">
        <v>238</v>
      </c>
      <c r="B106" s="77" t="s">
        <v>83</v>
      </c>
      <c r="C106" s="21"/>
      <c r="D106" s="43"/>
      <c r="E106" s="43">
        <f t="shared" si="62"/>
        <v>1253600</v>
      </c>
      <c r="F106" s="43">
        <f t="shared" si="63"/>
        <v>1253600</v>
      </c>
      <c r="G106" s="49">
        <v>1253600</v>
      </c>
      <c r="H106" s="49"/>
      <c r="I106" s="49"/>
      <c r="J106" s="49"/>
      <c r="K106" s="43">
        <f t="shared" si="65"/>
        <v>0</v>
      </c>
      <c r="L106" s="49">
        <v>0</v>
      </c>
      <c r="M106" s="49"/>
      <c r="N106" s="49"/>
      <c r="O106" s="49"/>
      <c r="P106" s="43">
        <f t="shared" si="67"/>
        <v>0</v>
      </c>
      <c r="Q106" s="49"/>
      <c r="R106" s="49"/>
      <c r="S106" s="49"/>
      <c r="T106" s="22"/>
    </row>
    <row r="107" spans="1:20" outlineLevel="2" x14ac:dyDescent="0.25">
      <c r="A107" s="85" t="s">
        <v>239</v>
      </c>
      <c r="B107" s="77" t="s">
        <v>84</v>
      </c>
      <c r="C107" s="21"/>
      <c r="D107" s="43"/>
      <c r="E107" s="43">
        <f t="shared" si="62"/>
        <v>34745776.700000003</v>
      </c>
      <c r="F107" s="43">
        <f t="shared" si="63"/>
        <v>0</v>
      </c>
      <c r="G107" s="49">
        <v>0</v>
      </c>
      <c r="H107" s="49"/>
      <c r="I107" s="49"/>
      <c r="J107" s="49"/>
      <c r="K107" s="43">
        <f t="shared" si="65"/>
        <v>34745776.700000003</v>
      </c>
      <c r="L107" s="49">
        <v>34745776.700000003</v>
      </c>
      <c r="M107" s="49"/>
      <c r="N107" s="49"/>
      <c r="O107" s="49"/>
      <c r="P107" s="43">
        <f t="shared" si="67"/>
        <v>0</v>
      </c>
      <c r="Q107" s="49"/>
      <c r="R107" s="49"/>
      <c r="S107" s="49"/>
      <c r="T107" s="22"/>
    </row>
    <row r="108" spans="1:20" ht="30" outlineLevel="2" x14ac:dyDescent="0.25">
      <c r="A108" s="85" t="s">
        <v>240</v>
      </c>
      <c r="B108" s="77" t="s">
        <v>85</v>
      </c>
      <c r="C108" s="21"/>
      <c r="D108" s="43"/>
      <c r="E108" s="43">
        <f t="shared" si="62"/>
        <v>12452100</v>
      </c>
      <c r="F108" s="43">
        <f t="shared" si="63"/>
        <v>12452100</v>
      </c>
      <c r="G108" s="49">
        <v>12452100</v>
      </c>
      <c r="H108" s="49"/>
      <c r="I108" s="49"/>
      <c r="J108" s="49"/>
      <c r="K108" s="43">
        <f t="shared" si="65"/>
        <v>0</v>
      </c>
      <c r="L108" s="49">
        <v>0</v>
      </c>
      <c r="M108" s="49"/>
      <c r="N108" s="49"/>
      <c r="O108" s="49"/>
      <c r="P108" s="43">
        <f t="shared" si="67"/>
        <v>0</v>
      </c>
      <c r="Q108" s="49"/>
      <c r="R108" s="49"/>
      <c r="S108" s="49"/>
      <c r="T108" s="22"/>
    </row>
    <row r="109" spans="1:20" outlineLevel="2" x14ac:dyDescent="0.25">
      <c r="A109" s="85" t="s">
        <v>241</v>
      </c>
      <c r="B109" s="77" t="s">
        <v>86</v>
      </c>
      <c r="C109" s="21"/>
      <c r="D109" s="43"/>
      <c r="E109" s="43">
        <f t="shared" si="62"/>
        <v>47291170</v>
      </c>
      <c r="F109" s="43">
        <f t="shared" si="63"/>
        <v>0</v>
      </c>
      <c r="G109" s="49">
        <v>0</v>
      </c>
      <c r="H109" s="49"/>
      <c r="I109" s="49"/>
      <c r="J109" s="49"/>
      <c r="K109" s="43">
        <f t="shared" si="65"/>
        <v>47291170</v>
      </c>
      <c r="L109" s="49">
        <v>47291170</v>
      </c>
      <c r="M109" s="49"/>
      <c r="N109" s="49"/>
      <c r="O109" s="49"/>
      <c r="P109" s="43">
        <f t="shared" si="67"/>
        <v>0</v>
      </c>
      <c r="Q109" s="49"/>
      <c r="R109" s="49"/>
      <c r="S109" s="49"/>
      <c r="T109" s="22"/>
    </row>
    <row r="110" spans="1:20" ht="15.75" outlineLevel="2" thickBot="1" x14ac:dyDescent="0.3">
      <c r="A110" s="85" t="s">
        <v>242</v>
      </c>
      <c r="B110" s="96" t="s">
        <v>87</v>
      </c>
      <c r="C110" s="34"/>
      <c r="D110" s="51"/>
      <c r="E110" s="51">
        <f t="shared" si="62"/>
        <v>20833530</v>
      </c>
      <c r="F110" s="51">
        <f t="shared" si="63"/>
        <v>0</v>
      </c>
      <c r="G110" s="50">
        <v>0</v>
      </c>
      <c r="H110" s="50"/>
      <c r="I110" s="50"/>
      <c r="J110" s="50"/>
      <c r="K110" s="51">
        <f t="shared" si="65"/>
        <v>20833530</v>
      </c>
      <c r="L110" s="50">
        <v>20833530</v>
      </c>
      <c r="M110" s="50"/>
      <c r="N110" s="50"/>
      <c r="O110" s="50"/>
      <c r="P110" s="51">
        <f t="shared" si="67"/>
        <v>0</v>
      </c>
      <c r="Q110" s="50"/>
      <c r="R110" s="50"/>
      <c r="S110" s="50"/>
      <c r="T110" s="35"/>
    </row>
    <row r="111" spans="1:20" ht="47.25" customHeight="1" thickBot="1" x14ac:dyDescent="0.3">
      <c r="A111" s="85"/>
      <c r="B111" s="92" t="s">
        <v>95</v>
      </c>
      <c r="C111" s="14"/>
      <c r="D111" s="56">
        <f>D112</f>
        <v>35012220</v>
      </c>
      <c r="E111" s="56">
        <f>E112</f>
        <v>35012220</v>
      </c>
      <c r="F111" s="56">
        <f>F112</f>
        <v>35012220</v>
      </c>
      <c r="G111" s="57">
        <f>G112</f>
        <v>35012220</v>
      </c>
      <c r="H111" s="57"/>
      <c r="I111" s="57"/>
      <c r="J111" s="57"/>
      <c r="K111" s="56"/>
      <c r="L111" s="57"/>
      <c r="M111" s="57"/>
      <c r="N111" s="57"/>
      <c r="O111" s="57"/>
      <c r="P111" s="56"/>
      <c r="Q111" s="57"/>
      <c r="R111" s="57"/>
      <c r="S111" s="57"/>
      <c r="T111" s="33"/>
    </row>
    <row r="112" spans="1:20" ht="49.5" customHeight="1" outlineLevel="1" x14ac:dyDescent="0.25">
      <c r="A112" s="85"/>
      <c r="B112" s="93" t="s">
        <v>25</v>
      </c>
      <c r="C112" s="19"/>
      <c r="D112" s="37">
        <f>E113</f>
        <v>35012220</v>
      </c>
      <c r="E112" s="37">
        <f t="shared" ref="E112:E118" si="69">F112+K112+P112</f>
        <v>35012220</v>
      </c>
      <c r="F112" s="37">
        <f t="shared" ref="F112:F113" si="70">SUM(G112:J112)</f>
        <v>35012220</v>
      </c>
      <c r="G112" s="48">
        <f>G113</f>
        <v>35012220</v>
      </c>
      <c r="H112" s="48">
        <f t="shared" ref="H112:J112" si="71">H113</f>
        <v>0</v>
      </c>
      <c r="I112" s="48">
        <f t="shared" si="71"/>
        <v>0</v>
      </c>
      <c r="J112" s="48">
        <f t="shared" si="71"/>
        <v>0</v>
      </c>
      <c r="K112" s="37">
        <f t="shared" ref="K112:K113" si="72">SUM(L112:O112)</f>
        <v>0</v>
      </c>
      <c r="L112" s="48">
        <f>L113</f>
        <v>0</v>
      </c>
      <c r="M112" s="48">
        <f t="shared" ref="M112:O112" si="73">M113</f>
        <v>0</v>
      </c>
      <c r="N112" s="48">
        <f t="shared" si="73"/>
        <v>0</v>
      </c>
      <c r="O112" s="48">
        <f t="shared" si="73"/>
        <v>0</v>
      </c>
      <c r="P112" s="37">
        <f t="shared" ref="P112:P113" si="74">SUM(Q112:T112)</f>
        <v>0</v>
      </c>
      <c r="Q112" s="48">
        <f>Q113</f>
        <v>0</v>
      </c>
      <c r="R112" s="48">
        <f t="shared" ref="R112:T112" si="75">R113</f>
        <v>0</v>
      </c>
      <c r="S112" s="48">
        <f t="shared" si="75"/>
        <v>0</v>
      </c>
      <c r="T112" s="20">
        <f t="shared" si="75"/>
        <v>0</v>
      </c>
    </row>
    <row r="113" spans="1:20" ht="15.75" outlineLevel="2" thickBot="1" x14ac:dyDescent="0.3">
      <c r="A113" s="85" t="s">
        <v>243</v>
      </c>
      <c r="B113" s="80" t="s">
        <v>78</v>
      </c>
      <c r="C113" s="23"/>
      <c r="D113" s="25"/>
      <c r="E113" s="24">
        <f t="shared" si="69"/>
        <v>35012220</v>
      </c>
      <c r="F113" s="24">
        <f t="shared" si="70"/>
        <v>35012220</v>
      </c>
      <c r="G113" s="25">
        <v>35012220</v>
      </c>
      <c r="H113" s="25"/>
      <c r="I113" s="25"/>
      <c r="J113" s="25"/>
      <c r="K113" s="24">
        <f t="shared" si="72"/>
        <v>0</v>
      </c>
      <c r="L113" s="25"/>
      <c r="M113" s="25"/>
      <c r="N113" s="25"/>
      <c r="O113" s="25"/>
      <c r="P113" s="24">
        <f t="shared" si="74"/>
        <v>0</v>
      </c>
      <c r="Q113" s="25"/>
      <c r="R113" s="25"/>
      <c r="S113" s="25"/>
      <c r="T113" s="26"/>
    </row>
    <row r="114" spans="1:20" ht="49.5" customHeight="1" outlineLevel="1" thickBot="1" x14ac:dyDescent="0.3">
      <c r="A114" s="85"/>
      <c r="B114" s="91" t="s">
        <v>29</v>
      </c>
      <c r="C114" s="16"/>
      <c r="D114" s="38"/>
      <c r="E114" s="17">
        <f t="shared" si="69"/>
        <v>2423597618</v>
      </c>
      <c r="F114" s="38">
        <f t="shared" ref="F114:F118" si="76">SUM(G114:J114)</f>
        <v>518265385</v>
      </c>
      <c r="G114" s="38">
        <v>517294885</v>
      </c>
      <c r="H114" s="38">
        <v>970500</v>
      </c>
      <c r="I114" s="38">
        <v>0</v>
      </c>
      <c r="J114" s="38">
        <v>0</v>
      </c>
      <c r="K114" s="38">
        <f t="shared" ref="K114:K118" si="77">SUM(L114:O114)</f>
        <v>1905332233</v>
      </c>
      <c r="L114" s="38">
        <v>1905332233</v>
      </c>
      <c r="M114" s="10">
        <v>0</v>
      </c>
      <c r="N114" s="10">
        <v>0</v>
      </c>
      <c r="O114" s="10">
        <v>0</v>
      </c>
      <c r="P114" s="9">
        <f t="shared" ref="P114:P118" si="78">SUM(Q114:T114)</f>
        <v>0</v>
      </c>
      <c r="Q114" s="10">
        <v>0</v>
      </c>
      <c r="R114" s="10">
        <v>0</v>
      </c>
      <c r="S114" s="10">
        <v>0</v>
      </c>
      <c r="T114" s="11">
        <v>0</v>
      </c>
    </row>
    <row r="115" spans="1:20" ht="48.75" customHeight="1" outlineLevel="1" thickBot="1" x14ac:dyDescent="0.3">
      <c r="A115" s="85"/>
      <c r="B115" s="100" t="s">
        <v>53</v>
      </c>
      <c r="C115" s="29"/>
      <c r="D115" s="31"/>
      <c r="E115" s="30">
        <f t="shared" si="69"/>
        <v>1508356100</v>
      </c>
      <c r="F115" s="31">
        <f t="shared" si="76"/>
        <v>221408700</v>
      </c>
      <c r="G115" s="31">
        <v>217214100</v>
      </c>
      <c r="H115" s="31">
        <v>4194600</v>
      </c>
      <c r="I115" s="31"/>
      <c r="J115" s="31"/>
      <c r="K115" s="31">
        <f t="shared" si="77"/>
        <v>424784400</v>
      </c>
      <c r="L115" s="31">
        <f>208212600+208182600</f>
        <v>416395200</v>
      </c>
      <c r="M115" s="4">
        <f>4194600*2</f>
        <v>8389200</v>
      </c>
      <c r="N115" s="4"/>
      <c r="O115" s="4"/>
      <c r="P115" s="12">
        <f>SUM(Q115:T115)</f>
        <v>862163000</v>
      </c>
      <c r="Q115" s="4">
        <f>211319000+211353000+211393600+211319000</f>
        <v>845384600</v>
      </c>
      <c r="R115" s="4">
        <f>4194600*4</f>
        <v>16778400</v>
      </c>
      <c r="S115" s="4"/>
      <c r="T115" s="5"/>
    </row>
    <row r="116" spans="1:20" ht="92.25" customHeight="1" outlineLevel="1" thickBot="1" x14ac:dyDescent="0.3">
      <c r="A116" s="85"/>
      <c r="B116" s="92" t="s">
        <v>54</v>
      </c>
      <c r="C116" s="14"/>
      <c r="D116" s="15"/>
      <c r="E116" s="18">
        <f t="shared" si="69"/>
        <v>762847851</v>
      </c>
      <c r="F116" s="15">
        <f t="shared" si="76"/>
        <v>255011572</v>
      </c>
      <c r="G116" s="15">
        <v>255011572</v>
      </c>
      <c r="H116" s="15"/>
      <c r="I116" s="15"/>
      <c r="J116" s="15"/>
      <c r="K116" s="15">
        <f t="shared" si="77"/>
        <v>507836279</v>
      </c>
      <c r="L116" s="15">
        <f>253937887+253898392</f>
        <v>507836279</v>
      </c>
      <c r="M116" s="8"/>
      <c r="N116" s="8"/>
      <c r="O116" s="8"/>
      <c r="P116" s="6">
        <f t="shared" si="78"/>
        <v>0</v>
      </c>
      <c r="Q116" s="8"/>
      <c r="R116" s="8"/>
      <c r="S116" s="8"/>
      <c r="T116" s="13"/>
    </row>
    <row r="117" spans="1:20" ht="75" customHeight="1" outlineLevel="1" thickBot="1" x14ac:dyDescent="0.3">
      <c r="A117" s="85"/>
      <c r="B117" s="100" t="s">
        <v>55</v>
      </c>
      <c r="C117" s="29"/>
      <c r="D117" s="31"/>
      <c r="E117" s="30">
        <f t="shared" si="69"/>
        <v>305657439</v>
      </c>
      <c r="F117" s="31">
        <v>101840355</v>
      </c>
      <c r="G117" s="31">
        <v>101908542</v>
      </c>
      <c r="H117" s="31"/>
      <c r="I117" s="31"/>
      <c r="J117" s="31"/>
      <c r="K117" s="31">
        <f t="shared" si="77"/>
        <v>203817084</v>
      </c>
      <c r="L117" s="31">
        <v>203817084</v>
      </c>
      <c r="M117" s="4"/>
      <c r="N117" s="4"/>
      <c r="O117" s="4"/>
      <c r="P117" s="12">
        <f t="shared" si="78"/>
        <v>0</v>
      </c>
      <c r="Q117" s="4"/>
      <c r="R117" s="4"/>
      <c r="S117" s="4"/>
      <c r="T117" s="5"/>
    </row>
    <row r="118" spans="1:20" ht="60.75" customHeight="1" outlineLevel="1" x14ac:dyDescent="0.25">
      <c r="A118" s="88"/>
      <c r="B118" s="102" t="s">
        <v>56</v>
      </c>
      <c r="C118" s="67"/>
      <c r="D118" s="68"/>
      <c r="E118" s="69">
        <f t="shared" si="69"/>
        <v>795319921</v>
      </c>
      <c r="F118" s="68">
        <f t="shared" si="76"/>
        <v>266609300</v>
      </c>
      <c r="G118" s="68">
        <v>266609300</v>
      </c>
      <c r="H118" s="68"/>
      <c r="I118" s="68"/>
      <c r="J118" s="68"/>
      <c r="K118" s="68">
        <f t="shared" si="77"/>
        <v>528710621</v>
      </c>
      <c r="L118" s="68">
        <f>280180617+248530004</f>
        <v>528710621</v>
      </c>
      <c r="M118" s="70"/>
      <c r="N118" s="70"/>
      <c r="O118" s="70"/>
      <c r="P118" s="71">
        <f t="shared" si="78"/>
        <v>0</v>
      </c>
      <c r="Q118" s="70"/>
      <c r="R118" s="70"/>
      <c r="S118" s="70"/>
      <c r="T118" s="72"/>
    </row>
    <row r="119" spans="1:20" ht="21.75" customHeight="1" x14ac:dyDescent="0.25">
      <c r="A119" s="110" t="s">
        <v>185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2"/>
    </row>
    <row r="120" spans="1:20" ht="43.5" customHeight="1" x14ac:dyDescent="0.25">
      <c r="A120" s="89"/>
      <c r="B120" s="103" t="s">
        <v>160</v>
      </c>
      <c r="C120" s="73"/>
      <c r="D120" s="73"/>
      <c r="E120" s="74"/>
      <c r="F120" s="74"/>
      <c r="G120" s="73"/>
      <c r="H120" s="73"/>
      <c r="I120" s="73"/>
      <c r="J120" s="73"/>
      <c r="K120" s="74"/>
      <c r="L120" s="73"/>
      <c r="M120" s="73"/>
      <c r="N120" s="73"/>
      <c r="O120" s="73"/>
      <c r="P120" s="74"/>
      <c r="Q120" s="73"/>
      <c r="R120" s="73"/>
      <c r="S120" s="73"/>
      <c r="T120" s="73"/>
    </row>
    <row r="121" spans="1:20" ht="36" customHeight="1" x14ac:dyDescent="0.25">
      <c r="A121" s="89" t="s">
        <v>244</v>
      </c>
      <c r="B121" s="81" t="s">
        <v>246</v>
      </c>
      <c r="C121" s="73" t="s">
        <v>161</v>
      </c>
      <c r="D121" s="73"/>
      <c r="E121" s="74"/>
      <c r="F121" s="75"/>
      <c r="G121" s="76"/>
      <c r="H121" s="73"/>
      <c r="I121" s="73"/>
      <c r="J121" s="73"/>
      <c r="K121" s="74"/>
      <c r="L121" s="73"/>
      <c r="M121" s="73"/>
      <c r="N121" s="73"/>
      <c r="O121" s="73"/>
      <c r="P121" s="74"/>
      <c r="Q121" s="73"/>
      <c r="R121" s="73"/>
      <c r="S121" s="73"/>
      <c r="T121" s="73"/>
    </row>
    <row r="123" spans="1:20" ht="39" customHeight="1" x14ac:dyDescent="0.3">
      <c r="A123" s="108" t="s">
        <v>247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</row>
  </sheetData>
  <mergeCells count="15">
    <mergeCell ref="A123:T123"/>
    <mergeCell ref="A119:T119"/>
    <mergeCell ref="P1:T1"/>
    <mergeCell ref="Q4:T4"/>
    <mergeCell ref="B4:B5"/>
    <mergeCell ref="C4:C5"/>
    <mergeCell ref="D4:D5"/>
    <mergeCell ref="E4:E5"/>
    <mergeCell ref="F4:F5"/>
    <mergeCell ref="K4:K5"/>
    <mergeCell ref="P4:P5"/>
    <mergeCell ref="G4:J4"/>
    <mergeCell ref="L4:O4"/>
    <mergeCell ref="A3:P3"/>
    <mergeCell ref="A4:A5"/>
  </mergeCells>
  <pageMargins left="0.78740157480314965" right="0.39370078740157483" top="0.78740157480314965" bottom="0.78740157480314965" header="0.31496062992125984" footer="0.31496062992125984"/>
  <pageSetup paperSize="9" scale="46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КИП 2014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Михальченко Светлана Николаевна</dc:creator>
  <cp:lastModifiedBy>Чернявская Светлана Сергеевна</cp:lastModifiedBy>
  <cp:lastPrinted>2014-02-26T09:29:32Z</cp:lastPrinted>
  <dcterms:created xsi:type="dcterms:W3CDTF">2014-01-15T09:52:32Z</dcterms:created>
  <dcterms:modified xsi:type="dcterms:W3CDTF">2014-02-27T06:10:55Z</dcterms:modified>
</cp:coreProperties>
</file>