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240" windowWidth="19320" windowHeight="11385" tabRatio="518"/>
  </bookViews>
  <sheets>
    <sheet name="на 01.08.2016" sheetId="1" r:id="rId1"/>
    <sheet name="перечень" sheetId="2" r:id="rId2"/>
    <sheet name="Лист1" sheetId="3" r:id="rId3"/>
  </sheets>
  <definedNames>
    <definedName name="_xlnm._FilterDatabase" localSheetId="0" hidden="1">'на 01.08.2016'!$A$7:$P$397</definedName>
    <definedName name="_xlnm._FilterDatabase" localSheetId="1" hidden="1">перечень!$A$3:$D$30</definedName>
    <definedName name="Z_0217F586_7BE2_4803_B88F_1646729DF76E_.wvu.FilterData" localSheetId="0" hidden="1">'на 01.08.2016'!$A$7:$P$397</definedName>
    <definedName name="Z_040F7A53_882C_426B_A971_3BA4E7F819F6_.wvu.FilterData" localSheetId="0" hidden="1">'на 01.08.2016'!$A$7:$K$139</definedName>
    <definedName name="Z_05C1E2BB_B583_44DD_A8AC_FBF87A053735_.wvu.FilterData" localSheetId="0" hidden="1">'на 01.08.2016'!$A$7:$K$139</definedName>
    <definedName name="Z_05C9DD0B_EBEE_40E7_A642_8B2CDCC810BA_.wvu.FilterData" localSheetId="0" hidden="1">'на 01.08.2016'!$A$7:$K$139</definedName>
    <definedName name="Z_0623BA59_06E0_47C4_A9E0_EFF8949456C2_.wvu.FilterData" localSheetId="0" hidden="1">'на 01.08.2016'!$A$7:$K$139</definedName>
    <definedName name="Z_071188D9_4773_41E2_8227_482316F94E22_.wvu.FilterData" localSheetId="0" hidden="1">'на 01.08.2016'!$A$7:$P$397</definedName>
    <definedName name="Z_079216EF_F396_45DE_93AA_DF26C49F532F_.wvu.FilterData" localSheetId="0" hidden="1">'на 01.08.2016'!$A$7:$K$139</definedName>
    <definedName name="Z_081D092E_BCFD_434D_99DD_F262EBF81A7D_.wvu.FilterData" localSheetId="0" hidden="1">'на 01.08.2016'!$A$7:$K$139</definedName>
    <definedName name="Z_09EDEF91_2CA5_4F56_B67B_9D290C461670_.wvu.FilterData" localSheetId="0" hidden="1">'на 01.08.2016'!$A$7:$K$139</definedName>
    <definedName name="Z_0AC3FA68_E0C8_4657_AD81_AF6345EA501C_.wvu.FilterData" localSheetId="0" hidden="1">'на 01.08.2016'!$A$7:$K$139</definedName>
    <definedName name="Z_0B579593_C56D_4394_91C1_F024BBE56EB1_.wvu.FilterData" localSheetId="0" hidden="1">'на 01.08.2016'!$A$7:$K$139</definedName>
    <definedName name="Z_0BC55D76_817D_4871_ADFD_780685E85798_.wvu.FilterData" localSheetId="0" hidden="1">'на 01.08.2016'!$A$7:$P$397</definedName>
    <definedName name="Z_0C6B39CB_8BE2_4437_B7EF_2B863FB64A7A_.wvu.FilterData" localSheetId="0" hidden="1">'на 01.08.2016'!$A$7:$K$139</definedName>
    <definedName name="Z_0C81132D_0EFB_424B_A2C0_D694846C9416_.wvu.FilterData" localSheetId="0" hidden="1">'на 01.08.2016'!$A$7:$P$397</definedName>
    <definedName name="Z_0C8C20D3_1DCE_4FE1_95B1_F35D8D398254_.wvu.FilterData" localSheetId="0" hidden="1">'на 01.08.2016'!$A$7:$K$139</definedName>
    <definedName name="Z_0CC9441C_88E9_46D0_951D_A49C84EDA8CE_.wvu.FilterData" localSheetId="0" hidden="1">'на 01.08.2016'!$A$7:$P$397</definedName>
    <definedName name="Z_0CF3E93E_60F6_45C8_AD33_C2CE08831546_.wvu.FilterData" localSheetId="0" hidden="1">'на 01.08.2016'!$A$7:$K$139</definedName>
    <definedName name="Z_0D69C398_7947_4D78_B1FE_A2A25AB79E10_.wvu.FilterData" localSheetId="0" hidden="1">'на 01.08.2016'!$A$7:$P$397</definedName>
    <definedName name="Z_0D7F5190_D20E_42FD_AD77_53CB309C7272_.wvu.FilterData" localSheetId="0" hidden="1">'на 01.08.2016'!$A$7:$K$139</definedName>
    <definedName name="Z_0E6786D8_AC3A_48D5_9AD7_4E7485DB6D9C_.wvu.FilterData" localSheetId="0" hidden="1">'на 01.08.2016'!$A$7:$K$139</definedName>
    <definedName name="Z_105D23B5_3830_4B2C_A4D4_FBFBD3BEFB9C_.wvu.FilterData" localSheetId="0" hidden="1">'на 01.08.2016'!$A$7:$K$139</definedName>
    <definedName name="Z_113A0779_204C_451B_8401_73E507046130_.wvu.FilterData" localSheetId="0" hidden="1">'на 01.08.2016'!$A$7:$P$397</definedName>
    <definedName name="Z_12397037_6208_4B36_BC95_11438284A9DE_.wvu.FilterData" localSheetId="0" hidden="1">'на 01.08.2016'!$A$7:$K$139</definedName>
    <definedName name="Z_1315266B_953C_4E7F_B538_74B6DF400647_.wvu.FilterData" localSheetId="0" hidden="1">'на 01.08.2016'!$A$7:$K$139</definedName>
    <definedName name="Z_13E7ADA2_058C_4412_9AEA_31547694DD5C_.wvu.FilterData" localSheetId="0" hidden="1">'на 01.08.2016'!$A$7:$K$139</definedName>
    <definedName name="Z_158130B9_9537_4E7D_AC4C_ED389C9B13A6_.wvu.FilterData" localSheetId="0" hidden="1">'на 01.08.2016'!$A$7:$P$397</definedName>
    <definedName name="Z_16533C21_4A9A_450C_8A94_553B88C3A9CF_.wvu.FilterData" localSheetId="0" hidden="1">'на 01.08.2016'!$A$7:$K$139</definedName>
    <definedName name="Z_1682CF4C_6BE2_4E45_A613_382D117E51BF_.wvu.FilterData" localSheetId="0" hidden="1">'на 01.08.2016'!$A$7:$P$397</definedName>
    <definedName name="Z_168FD5D4_D13B_47B9_8E56_61C627E3620F_.wvu.FilterData" localSheetId="0" hidden="1">'на 01.08.2016'!$A$7:$K$139</definedName>
    <definedName name="Z_176FBEC7_B2AF_4702_A894_382F81F9ECF6_.wvu.FilterData" localSheetId="0" hidden="1">'на 01.08.2016'!$A$7:$K$139</definedName>
    <definedName name="Z_17AEC02B_67B1_483A_97D2_C1C6DFD21518_.wvu.FilterData" localSheetId="0" hidden="1">'на 01.08.2016'!$A$7:$P$397</definedName>
    <definedName name="Z_19510E6E_7565_4AC2_BCB4_A345501456B6_.wvu.FilterData" localSheetId="0" hidden="1">'на 01.08.2016'!$A$7:$K$139</definedName>
    <definedName name="Z_1ADD4354_436F_41C7_AFD6_B73FA2D9BC20_.wvu.FilterData" localSheetId="0" hidden="1">'на 01.08.2016'!$A$7:$P$397</definedName>
    <definedName name="Z_1C384A54_E3F0_4C1E_862E_6CD9154B364F_.wvu.FilterData" localSheetId="0" hidden="1">'на 01.08.2016'!$A$7:$P$397</definedName>
    <definedName name="Z_1C3DF549_BEC3_47F7_8F0B_A96D42597ECF_.wvu.FilterData" localSheetId="0" hidden="1">'на 01.08.2016'!$A$7:$K$139</definedName>
    <definedName name="Z_1C681B2A_8932_44D9_BF50_EA5DBCC10436_.wvu.FilterData" localSheetId="0" hidden="1">'на 01.08.2016'!$A$7:$K$139</definedName>
    <definedName name="Z_1CEF9102_6C60_416B_8820_19DA6CA2FF8F_.wvu.FilterData" localSheetId="0" hidden="1">'на 01.08.2016'!$A$7:$P$397</definedName>
    <definedName name="Z_1D2C2901_70D8_494F_B885_AA5F7F9A1D2E_.wvu.FilterData" localSheetId="0" hidden="1">'на 01.08.2016'!$A$7:$P$397</definedName>
    <definedName name="Z_1F274A4D_4DCC_44CA_A1BD_90B7EE180486_.wvu.FilterData" localSheetId="0" hidden="1">'на 01.08.2016'!$A$7:$K$139</definedName>
    <definedName name="Z_1F6B5B08_FAE9_43CF_A27B_EE7ACD6D4DF6_.wvu.FilterData" localSheetId="0" hidden="1">'на 01.08.2016'!$A$7:$P$397</definedName>
    <definedName name="Z_1F885BC0_FA2D_45E9_BC66_C7BA68F6529B_.wvu.FilterData" localSheetId="0" hidden="1">'на 01.08.2016'!$A$7:$P$397</definedName>
    <definedName name="Z_1FF678B1_7F2B_4362_81E7_D3C79ED64B95_.wvu.FilterData" localSheetId="0" hidden="1">'на 01.08.2016'!$A$7:$K$139</definedName>
    <definedName name="Z_216AEA56_C079_4104_83C7_B22F3C2C4895_.wvu.FilterData" localSheetId="0" hidden="1">'на 01.08.2016'!$A$7:$K$139</definedName>
    <definedName name="Z_2181C7D4_AA52_40AC_A808_5D532F9A4DB9_.wvu.FilterData" localSheetId="0" hidden="1">'на 01.08.2016'!$A$7:$K$139</definedName>
    <definedName name="Z_222CB208_6EE7_4ACF_9056_A80606B8DEAE_.wvu.FilterData" localSheetId="0" hidden="1">'на 01.08.2016'!$A$7:$P$397</definedName>
    <definedName name="Z_22A3361C_6866_4206_B8FA_E848438D95B8_.wvu.FilterData" localSheetId="0" hidden="1">'на 01.08.2016'!$A$7:$K$139</definedName>
    <definedName name="Z_24D1D1DF_90B3_41D1_82E1_05DE887CC58D_.wvu.FilterData" localSheetId="0" hidden="1">'на 01.08.2016'!$A$7:$K$139</definedName>
    <definedName name="Z_24E5C1BC_322C_4FEF_B964_F0DCC04482C1_.wvu.Cols" localSheetId="0" hidden="1">'на 01.08.2016'!#REF!,'на 01.08.2016'!#REF!</definedName>
    <definedName name="Z_24E5C1BC_322C_4FEF_B964_F0DCC04482C1_.wvu.FilterData" localSheetId="0" hidden="1">'на 01.08.2016'!$A$7:$K$139</definedName>
    <definedName name="Z_24E5C1BC_322C_4FEF_B964_F0DCC04482C1_.wvu.Rows" localSheetId="0" hidden="1">'на 01.08.2016'!#REF!</definedName>
    <definedName name="Z_26E7CD7D_71FD_4075_B268_E6444384CE7D_.wvu.FilterData" localSheetId="0" hidden="1">'на 01.08.2016'!$A$7:$K$139</definedName>
    <definedName name="Z_2751B79E_F60F_449F_9B1A_ED01F0EE4A3F_.wvu.FilterData" localSheetId="0" hidden="1">'на 01.08.2016'!$A$7:$P$397</definedName>
    <definedName name="Z_28008BE5_0693_468D_890E_2AE562EDDFCA_.wvu.FilterData" localSheetId="0" hidden="1">'на 01.08.2016'!$A$7:$K$139</definedName>
    <definedName name="Z_2B4EF399_1F78_4650_9196_70339D27DB54_.wvu.FilterData" localSheetId="0" hidden="1">'на 01.08.2016'!$A$7:$P$397</definedName>
    <definedName name="Z_2B67E997_66AF_4883_9EE5_9876648FDDE9_.wvu.FilterData" localSheetId="0" hidden="1">'на 01.08.2016'!$A$7:$P$397</definedName>
    <definedName name="Z_2C029299_5EEC_4151_A9E2_241D31E08692_.wvu.FilterData" localSheetId="0" hidden="1">'на 01.08.2016'!$A$7:$P$397</definedName>
    <definedName name="Z_2C47EAD7_6B0B_40AB_9599_0BF3302E35F1_.wvu.FilterData" localSheetId="0" hidden="1">'на 01.08.2016'!$A$7:$K$139</definedName>
    <definedName name="Z_2CD18B03_71F5_4B8A_8C6C_592F5A66335B_.wvu.FilterData" localSheetId="0" hidden="1">'на 01.08.2016'!$A$7:$P$397</definedName>
    <definedName name="Z_2D011736_53B8_48A8_8C2E_71DD995F6546_.wvu.FilterData" localSheetId="0" hidden="1">'на 01.08.2016'!$A$7:$P$397</definedName>
    <definedName name="Z_2D540280_F40F_4530_A32A_1FF2E78E7147_.wvu.FilterData" localSheetId="0" hidden="1">'на 01.08.2016'!$A$7:$P$397</definedName>
    <definedName name="Z_2D918A37_6905_4BEF_BC3A_DA45E968DAC3_.wvu.FilterData" localSheetId="0" hidden="1">'на 01.08.2016'!$A$7:$K$139</definedName>
    <definedName name="Z_2DF88C31_E5A0_4DFE_877D_5A31D3992603_.wvu.Rows" localSheetId="0" hidden="1">'на 01.08.2016'!#REF!,'на 01.08.2016'!#REF!,'на 01.08.2016'!#REF!,'на 01.08.2016'!#REF!,'на 01.08.2016'!#REF!,'на 01.08.2016'!#REF!,'на 01.08.2016'!#REF!,'на 01.08.2016'!#REF!,'на 01.08.2016'!#REF!,'на 01.08.2016'!#REF!,'на 01.08.2016'!#REF!</definedName>
    <definedName name="Z_2F3BAFC5_8792_4BC0_833F_5CB9ACB14A14_.wvu.FilterData" localSheetId="0" hidden="1">'на 01.08.2016'!$A$7:$K$139</definedName>
    <definedName name="Z_2F7AC811_CA37_46E3_866E_6E10DF43054A_.wvu.FilterData" localSheetId="0" hidden="1">'на 01.08.2016'!$A$7:$P$397</definedName>
    <definedName name="Z_2F7AC811_CA37_46E3_866E_6E10DF43054A_.wvu.FilterData" localSheetId="1" hidden="1">перечень!$A$3:$D$30</definedName>
    <definedName name="Z_2F7AC811_CA37_46E3_866E_6E10DF43054A_.wvu.PrintArea" localSheetId="1" hidden="1">перечень!$A$1:$J$34</definedName>
    <definedName name="Z_2F7AC811_CA37_46E3_866E_6E10DF43054A_.wvu.PrintTitles" localSheetId="1" hidden="1">перечень!$3:$3</definedName>
    <definedName name="Z_30F94082_E7C8_4DE7_AE26_19B3A4317363_.wvu.FilterData" localSheetId="0" hidden="1">'на 01.08.2016'!$A$7:$P$397</definedName>
    <definedName name="Z_315B3829_E75D_48BB_A407_88A96C0D6A4B_.wvu.FilterData" localSheetId="0" hidden="1">'на 01.08.2016'!$A$7:$P$397</definedName>
    <definedName name="Z_31985263_3556_4B71_A26F_62706F49B320_.wvu.FilterData" localSheetId="0" hidden="1">'на 01.08.2016'!$A$7:$K$139</definedName>
    <definedName name="Z_31EABA3C_DD8D_46BF_85B1_09527EF8E816_.wvu.FilterData" localSheetId="0" hidden="1">'на 01.08.2016'!$A$7:$K$139</definedName>
    <definedName name="Z_328B1FBD_B9E0_4F8C_AA1F_438ED0F19823_.wvu.FilterData" localSheetId="0" hidden="1">'на 01.08.2016'!$A$7:$P$397</definedName>
    <definedName name="Z_33081AFE_875F_4448_8DBB_C2288E582829_.wvu.FilterData" localSheetId="0" hidden="1">'на 01.08.2016'!$A$7:$P$397</definedName>
    <definedName name="Z_34587A22_A707_48EC_A6D8_8CA0D443CB5A_.wvu.FilterData" localSheetId="0" hidden="1">'на 01.08.2016'!$A$7:$P$397</definedName>
    <definedName name="Z_34E97F8E_B808_4C29_AFA8_24160BA8B576_.wvu.FilterData" localSheetId="0" hidden="1">'на 01.08.2016'!$A$7:$K$139</definedName>
    <definedName name="Z_3597F15D_13FB_47E4_B2D7_0713796F1B32_.wvu.FilterData" localSheetId="0" hidden="1">'на 01.08.2016'!$A$7:$K$139</definedName>
    <definedName name="Z_36279478_DEDD_46A7_8B6D_9500CB65A35C_.wvu.FilterData" localSheetId="0" hidden="1">'на 01.08.2016'!$A$7:$K$139</definedName>
    <definedName name="Z_36282042_958F_4D98_9515_9E9271F26AA2_.wvu.FilterData" localSheetId="0" hidden="1">'на 01.08.2016'!$A$7:$K$139</definedName>
    <definedName name="Z_36AEB3FF_FCBC_4E21_8EFE_F20781816ED3_.wvu.FilterData" localSheetId="0" hidden="1">'на 01.08.2016'!$A$7:$K$139</definedName>
    <definedName name="Z_371CA4AD_891B_4B1D_9403_45AB26546607_.wvu.FilterData" localSheetId="0" hidden="1">'на 01.08.2016'!$A$7:$P$397</definedName>
    <definedName name="Z_37F8CE32_8CE8_4D95_9C0E_63112E6EFFE9_.wvu.Cols" localSheetId="0" hidden="1">'на 01.08.2016'!#REF!</definedName>
    <definedName name="Z_37F8CE32_8CE8_4D95_9C0E_63112E6EFFE9_.wvu.FilterData" localSheetId="0" hidden="1">'на 01.08.2016'!$A$7:$K$139</definedName>
    <definedName name="Z_37F8CE32_8CE8_4D95_9C0E_63112E6EFFE9_.wvu.PrintArea" localSheetId="0" hidden="1">'на 01.08.2016'!$A$1:$P$139</definedName>
    <definedName name="Z_37F8CE32_8CE8_4D95_9C0E_63112E6EFFE9_.wvu.PrintTitles" localSheetId="0" hidden="1">'на 01.08.2016'!$5:$8</definedName>
    <definedName name="Z_37F8CE32_8CE8_4D95_9C0E_63112E6EFFE9_.wvu.Rows" localSheetId="0" hidden="1">'на 01.08.2016'!#REF!,'на 01.08.2016'!#REF!,'на 01.08.2016'!#REF!,'на 01.08.2016'!#REF!,'на 01.08.2016'!#REF!,'на 01.08.2016'!#REF!,'на 01.08.2016'!#REF!,'на 01.08.2016'!#REF!,'на 01.08.2016'!#REF!,'на 01.08.2016'!#REF!,'на 01.08.2016'!#REF!,'на 01.08.2016'!#REF!,'на 01.08.2016'!#REF!,'на 01.08.2016'!#REF!,'на 01.08.2016'!#REF!,'на 01.08.2016'!#REF!,'на 01.08.2016'!#REF!</definedName>
    <definedName name="Z_39897EE2_53F6_432A_9A7F_7DBB2FBB08E4_.wvu.FilterData" localSheetId="0" hidden="1">'на 01.08.2016'!$A$7:$P$397</definedName>
    <definedName name="Z_3A3DB971_386F_40FA_8DD4_4A74AFE3B4C9_.wvu.FilterData" localSheetId="0" hidden="1">'на 01.08.2016'!$A$7:$P$397</definedName>
    <definedName name="Z_3AAEA08B_779A_471D_BFA0_0D98BF9A4FAD_.wvu.FilterData" localSheetId="0" hidden="1">'на 01.08.2016'!$A$7:$K$139</definedName>
    <definedName name="Z_3C9F72CF_10C2_48CF_BBB6_A2B9A1393F37_.wvu.FilterData" localSheetId="0" hidden="1">'на 01.08.2016'!$A$7:$K$139</definedName>
    <definedName name="Z_3CBCA6B7_5D7C_44A4_844A_26E2A61FDE86_.wvu.FilterData" localSheetId="0" hidden="1">'на 01.08.2016'!$A$7:$P$397</definedName>
    <definedName name="Z_3D1280C8_646B_4BB2_862F_8A8207220C6A_.wvu.FilterData" localSheetId="0" hidden="1">'на 01.08.2016'!$A$7:$K$139</definedName>
    <definedName name="Z_3D5A28D4_CB7B_405C_9FFF_EB22C14AB77F_.wvu.FilterData" localSheetId="0" hidden="1">'на 01.08.2016'!$A$7:$P$397</definedName>
    <definedName name="Z_3DB4F6FC_CE58_4083_A6ED_88DCB901BB99_.wvu.FilterData" localSheetId="0" hidden="1">'на 01.08.2016'!$A$7:$K$139</definedName>
    <definedName name="Z_3E14FD86_95B1_4D0E_A8F6_A4FFDE0E3FF0_.wvu.FilterData" localSheetId="0" hidden="1">'на 01.08.2016'!$A$7:$P$397</definedName>
    <definedName name="Z_3F839701_87D5_496C_AD9C_2B5AE5742513_.wvu.FilterData" localSheetId="0" hidden="1">'на 01.08.2016'!$A$7:$P$397</definedName>
    <definedName name="Z_3FE8ACF3_2097_4BA9_8230_2DBD30F09632_.wvu.FilterData" localSheetId="0" hidden="1">'на 01.08.2016'!$A$7:$P$397</definedName>
    <definedName name="Z_3FEDCFF8_5450_469D_9A9E_38AB8819A083_.wvu.FilterData" localSheetId="0" hidden="1">'на 01.08.2016'!$A$7:$P$397</definedName>
    <definedName name="Z_402DFE3F_A5E1_41E8_BB4F_E3062FAE22D8_.wvu.FilterData" localSheetId="0" hidden="1">'на 01.08.2016'!$A$7:$P$397</definedName>
    <definedName name="Z_403313B7_B74E_4D03_8AB9_B2A52A5BA330_.wvu.FilterData" localSheetId="0" hidden="1">'на 01.08.2016'!$A$7:$K$139</definedName>
    <definedName name="Z_4055661A_C391_44E3_B71B_DF824D593415_.wvu.FilterData" localSheetId="0" hidden="1">'на 01.08.2016'!$A$7:$K$139</definedName>
    <definedName name="Z_415B8653_FE9C_472E_85AE_9CFA9B00FD5E_.wvu.FilterData" localSheetId="0" hidden="1">'на 01.08.2016'!$A$7:$K$139</definedName>
    <definedName name="Z_41C6EAF5_F389_4A73_A5DF_3E2ABACB9DC1_.wvu.FilterData" localSheetId="0" hidden="1">'на 01.08.2016'!$A$7:$P$397</definedName>
    <definedName name="Z_4388DD05_A74C_4C1C_A344_6EEDB2F4B1B0_.wvu.FilterData" localSheetId="0" hidden="1">'на 01.08.2016'!$A$7:$K$139</definedName>
    <definedName name="Z_445590C0_7350_4A17_AB85_F8DCF9494ECC_.wvu.FilterData" localSheetId="0" hidden="1">'на 01.08.2016'!$A$7:$K$139</definedName>
    <definedName name="Z_45D27932_FD3D_46DE_B431_4E5606457D7F_.wvu.FilterData" localSheetId="0" hidden="1">'на 01.08.2016'!$A$7:$K$139</definedName>
    <definedName name="Z_45DE1976_7F07_4EB4_8A9C_FB72D060BEFA_.wvu.Cols" localSheetId="2" hidden="1">Лист1!$C:$E,Лист1!$M:$N</definedName>
    <definedName name="Z_45DE1976_7F07_4EB4_8A9C_FB72D060BEFA_.wvu.Cols" localSheetId="0" hidden="1">'на 01.08.2016'!$C:$E,'на 01.08.2016'!$M:$N</definedName>
    <definedName name="Z_45DE1976_7F07_4EB4_8A9C_FB72D060BEFA_.wvu.FilterData" localSheetId="0" hidden="1">'на 01.08.2016'!$A$7:$P$397</definedName>
    <definedName name="Z_45DE1976_7F07_4EB4_8A9C_FB72D060BEFA_.wvu.FilterData" localSheetId="1" hidden="1">перечень!$A$3:$D$30</definedName>
    <definedName name="Z_45DE1976_7F07_4EB4_8A9C_FB72D060BEFA_.wvu.PrintArea" localSheetId="0" hidden="1">'на 01.08.2016'!$A$1:$P$190</definedName>
    <definedName name="Z_45DE1976_7F07_4EB4_8A9C_FB72D060BEFA_.wvu.PrintArea" localSheetId="1" hidden="1">перечень!$A$1:$J$34</definedName>
    <definedName name="Z_45DE1976_7F07_4EB4_8A9C_FB72D060BEFA_.wvu.PrintTitles" localSheetId="0" hidden="1">'на 01.08.2016'!$5:$8</definedName>
    <definedName name="Z_45DE1976_7F07_4EB4_8A9C_FB72D060BEFA_.wvu.PrintTitles" localSheetId="1" hidden="1">перечень!$3:$3</definedName>
    <definedName name="Z_47DE35B6_B347_4C65_8E49_C2008CA773EB_.wvu.FilterData" localSheetId="0" hidden="1">'на 01.08.2016'!$A$7:$K$139</definedName>
    <definedName name="Z_486156AC_4370_4C02_BA8A_CB9B49D1A8EC_.wvu.FilterData" localSheetId="0" hidden="1">'на 01.08.2016'!$A$7:$P$397</definedName>
    <definedName name="Z_4AF0FF7E_D940_4246_AB71_AC8FEDA2EF24_.wvu.FilterData" localSheetId="0" hidden="1">'на 01.08.2016'!$A$7:$P$397</definedName>
    <definedName name="Z_4BB7905C_0E11_42F1_848D_90186131796A_.wvu.FilterData" localSheetId="0" hidden="1">'на 01.08.2016'!$A$7:$K$139</definedName>
    <definedName name="Z_4C1FE39D_945F_4F14_94DF_F69B283DCD9F_.wvu.FilterData" localSheetId="0" hidden="1">'на 01.08.2016'!$A$7:$K$139</definedName>
    <definedName name="Z_4CEB490B_58FB_4CA0_AAF2_63178FECD849_.wvu.FilterData" localSheetId="0" hidden="1">'на 01.08.2016'!$A$7:$P$397</definedName>
    <definedName name="Z_4EB9A2EB_6EC6_4AFE_AFFA_537868B4F130_.wvu.FilterData" localSheetId="0" hidden="1">'на 01.08.2016'!$A$7:$P$397</definedName>
    <definedName name="Z_4FA4A69A_6589_44A8_8710_9041295BCBA3_.wvu.FilterData" localSheetId="0" hidden="1">'на 01.08.2016'!$A$7:$P$397</definedName>
    <definedName name="Z_5039ACE2_215B_49F3_AC23_F5E171EB2E04_.wvu.FilterData" localSheetId="0" hidden="1">'на 01.08.2016'!$A$7:$P$397</definedName>
    <definedName name="Z_52C40832_4D48_45A4_B802_95C62DCB5A61_.wvu.FilterData" localSheetId="0" hidden="1">'на 01.08.2016'!$A$7:$K$139</definedName>
    <definedName name="Z_539CB3DF_9B66_4BE7_9074_8CE0405EB8A6_.wvu.Cols" localSheetId="2" hidden="1">Лист1!$C:$E,Лист1!$M:$N</definedName>
    <definedName name="Z_539CB3DF_9B66_4BE7_9074_8CE0405EB8A6_.wvu.Cols" localSheetId="0" hidden="1">'на 01.08.2016'!$C:$E,'на 01.08.2016'!$M:$N</definedName>
    <definedName name="Z_539CB3DF_9B66_4BE7_9074_8CE0405EB8A6_.wvu.FilterData" localSheetId="0" hidden="1">'на 01.08.2016'!$A$7:$P$397</definedName>
    <definedName name="Z_539CB3DF_9B66_4BE7_9074_8CE0405EB8A6_.wvu.FilterData" localSheetId="1" hidden="1">перечень!$A$3:$D$30</definedName>
    <definedName name="Z_539CB3DF_9B66_4BE7_9074_8CE0405EB8A6_.wvu.PrintArea" localSheetId="0" hidden="1">'на 01.08.2016'!$A$1:$P$190</definedName>
    <definedName name="Z_539CB3DF_9B66_4BE7_9074_8CE0405EB8A6_.wvu.PrintArea" localSheetId="1" hidden="1">перечень!$A$1:$J$34</definedName>
    <definedName name="Z_539CB3DF_9B66_4BE7_9074_8CE0405EB8A6_.wvu.PrintTitles" localSheetId="0" hidden="1">'на 01.08.2016'!$5:$8</definedName>
    <definedName name="Z_539CB3DF_9B66_4BE7_9074_8CE0405EB8A6_.wvu.PrintTitles" localSheetId="1" hidden="1">перечень!$3:$3</definedName>
    <definedName name="Z_55266A36_B6A9_42E1_8467_17D14F12BABD_.wvu.FilterData" localSheetId="0" hidden="1">'на 01.08.2016'!$A$7:$K$139</definedName>
    <definedName name="Z_565A1A16_6A4F_4794_B3C1_1808DC7E86C0_.wvu.FilterData" localSheetId="0" hidden="1">'на 01.08.2016'!$A$7:$K$139</definedName>
    <definedName name="Z_568C3823_FEE7_49C8_B4CF_3D48541DA65C_.wvu.FilterData" localSheetId="0" hidden="1">'на 01.08.2016'!$A$7:$K$139</definedName>
    <definedName name="Z_5696C387_34DF_4BED_BB60_2D85436D9DA8_.wvu.FilterData" localSheetId="0" hidden="1">'на 01.08.2016'!$A$7:$P$397</definedName>
    <definedName name="Z_56C18D87_C587_43F7_9147_D7827AADF66D_.wvu.FilterData" localSheetId="0" hidden="1">'на 01.08.2016'!$A$7:$K$139</definedName>
    <definedName name="Z_5729DC83_8713_4B21_9D2C_8A74D021747E_.wvu.FilterData" localSheetId="0" hidden="1">'на 01.08.2016'!$A$7:$K$139</definedName>
    <definedName name="Z_5730431A_42FA_4886_8F76_DA9C1179F65B_.wvu.FilterData" localSheetId="0" hidden="1">'на 01.08.2016'!$A$7:$P$397</definedName>
    <definedName name="Z_58270B81_2C5A_44D4_84D8_B29B6BA03243_.wvu.FilterData" localSheetId="0" hidden="1">'на 01.08.2016'!$A$7:$K$139</definedName>
    <definedName name="Z_58EAD7A7_C312_4E53_9D90_6DB268F00AAE_.wvu.FilterData" localSheetId="0" hidden="1">'на 01.08.2016'!$A$7:$P$397</definedName>
    <definedName name="Z_59074C03_1A19_4344_8FE1_916D5A98CD29_.wvu.FilterData" localSheetId="0" hidden="1">'на 01.08.2016'!$A$7:$P$397</definedName>
    <definedName name="Z_59F91900_CAE9_4608_97BE_FBC0993C389F_.wvu.FilterData" localSheetId="0" hidden="1">'на 01.08.2016'!$A$7:$K$139</definedName>
    <definedName name="Z_5AC843E8_BE7D_4B69_82E5_622B40389D76_.wvu.FilterData" localSheetId="0" hidden="1">'на 01.08.2016'!$A$7:$P$397</definedName>
    <definedName name="Z_5B201F9D_0EC3_499C_A33C_1C4C3BFDAC63_.wvu.FilterData" localSheetId="0" hidden="1">'на 01.08.2016'!$A$7:$P$397</definedName>
    <definedName name="Z_5B8F35C7_BACE_46B7_A289_D37993E37EE6_.wvu.FilterData" localSheetId="0" hidden="1">'на 01.08.2016'!$A$7:$P$397</definedName>
    <definedName name="Z_5C13A1A0_C535_4639_90BE_9B5D72B8AEDB_.wvu.FilterData" localSheetId="0" hidden="1">'на 01.08.2016'!$A$7:$K$139</definedName>
    <definedName name="Z_5C519772_2A20_4B5B_841B_37C4DE3DF25F_.wvu.FilterData" localSheetId="0" hidden="1">'на 01.08.2016'!$A$7:$P$397</definedName>
    <definedName name="Z_5CDE7466_9008_4EE8_8F19_E26D937B15F6_.wvu.FilterData" localSheetId="0" hidden="1">'на 01.08.2016'!$A$7:$K$139</definedName>
    <definedName name="Z_5EB104F4_627D_44E7_960F_6C67063C7D09_.wvu.FilterData" localSheetId="0" hidden="1">'на 01.08.2016'!$A$7:$P$397</definedName>
    <definedName name="Z_5FB953A5_71FF_4056_AF98_C9D06FF0EDF3_.wvu.Cols" localSheetId="2" hidden="1">Лист1!$C:$E,Лист1!$M:$N</definedName>
    <definedName name="Z_5FB953A5_71FF_4056_AF98_C9D06FF0EDF3_.wvu.Cols" localSheetId="0" hidden="1">'на 01.08.2016'!$C:$E,'на 01.08.2016'!$M:$N</definedName>
    <definedName name="Z_5FB953A5_71FF_4056_AF98_C9D06FF0EDF3_.wvu.FilterData" localSheetId="0" hidden="1">'на 01.08.2016'!$A$7:$P$397</definedName>
    <definedName name="Z_5FB953A5_71FF_4056_AF98_C9D06FF0EDF3_.wvu.FilterData" localSheetId="1" hidden="1">перечень!$A$3:$D$30</definedName>
    <definedName name="Z_5FB953A5_71FF_4056_AF98_C9D06FF0EDF3_.wvu.PrintArea" localSheetId="0" hidden="1">'на 01.08.2016'!$A$1:$P$190</definedName>
    <definedName name="Z_5FB953A5_71FF_4056_AF98_C9D06FF0EDF3_.wvu.PrintArea" localSheetId="1" hidden="1">перечень!$A$1:$K$34</definedName>
    <definedName name="Z_5FB953A5_71FF_4056_AF98_C9D06FF0EDF3_.wvu.PrintTitles" localSheetId="0" hidden="1">'на 01.08.2016'!$5:$8</definedName>
    <definedName name="Z_5FB953A5_71FF_4056_AF98_C9D06FF0EDF3_.wvu.PrintTitles" localSheetId="1" hidden="1">перечень!$3:$3</definedName>
    <definedName name="Z_60657231_C99E_4191_A90E_C546FB588843_.wvu.FilterData" localSheetId="0" hidden="1">'на 01.08.2016'!$A$7:$K$139</definedName>
    <definedName name="Z_60B33E92_3815_4061_91AA_8E38B8895054_.wvu.FilterData" localSheetId="0" hidden="1">'на 01.08.2016'!$A$7:$K$139</definedName>
    <definedName name="Z_61D3C2BE_E5C3_4670_8A8C_5EA015D7BE13_.wvu.FilterData" localSheetId="0" hidden="1">'на 01.08.2016'!$A$7:$P$397</definedName>
    <definedName name="Z_6246324E_D224_4FAC_8C67_F9370E7D77EB_.wvu.FilterData" localSheetId="0" hidden="1">'на 01.08.2016'!$A$7:$P$397</definedName>
    <definedName name="Z_62534477_13C5_437C_87A9_3525FC60CE4D_.wvu.FilterData" localSheetId="0" hidden="1">'на 01.08.2016'!$A$7:$P$397</definedName>
    <definedName name="Z_62691467_BD46_47AE_A6DF_52CBD0D9817B_.wvu.FilterData" localSheetId="0" hidden="1">'на 01.08.2016'!$A$7:$K$139</definedName>
    <definedName name="Z_62C4D5B7_88F6_4885_99F7_CBFA0AACC2D9_.wvu.FilterData" localSheetId="0" hidden="1">'на 01.08.2016'!$A$7:$P$397</definedName>
    <definedName name="Z_62F2B5AA_C3D1_4669_A4A0_184285923B8F_.wvu.FilterData" localSheetId="0" hidden="1">'на 01.08.2016'!$A$7:$P$397</definedName>
    <definedName name="Z_63720CAA_47FE_4977_B082_29E1534276C7_.wvu.FilterData" localSheetId="0" hidden="1">'на 01.08.2016'!$A$7:$P$397</definedName>
    <definedName name="Z_638AAAE8_8FF2_44D0_A160_BB2A9AEB5B72_.wvu.FilterData" localSheetId="0" hidden="1">'на 01.08.2016'!$A$7:$K$139</definedName>
    <definedName name="Z_63D45DC6_0D62_438A_9069_0A4378090381_.wvu.FilterData" localSheetId="0" hidden="1">'на 01.08.2016'!$A$7:$K$139</definedName>
    <definedName name="Z_648AB040_BD0E_49A1_BA40_87D3D9C0BA55_.wvu.FilterData" localSheetId="0" hidden="1">'на 01.08.2016'!$A$7:$P$397</definedName>
    <definedName name="Z_64C01F03_E840_4B6E_960F_5E13E0981676_.wvu.FilterData" localSheetId="0" hidden="1">'на 01.08.2016'!$A$7:$P$397</definedName>
    <definedName name="Z_66550ABE_0FE4_4071_B1FA_6163FA599414_.wvu.FilterData" localSheetId="0" hidden="1">'на 01.08.2016'!$A$7:$P$397</definedName>
    <definedName name="Z_6656F77C_55F8_4E1C_A222_2E884838D2F2_.wvu.FilterData" localSheetId="0" hidden="1">'на 01.08.2016'!$A$7:$P$397</definedName>
    <definedName name="Z_67ADFAE6_A9AF_44D7_8539_93CD0F6B7849_.wvu.Cols" localSheetId="2" hidden="1">Лист1!$C:$E,Лист1!$M:$N</definedName>
    <definedName name="Z_67ADFAE6_A9AF_44D7_8539_93CD0F6B7849_.wvu.Cols" localSheetId="0" hidden="1">'на 01.08.2016'!$C:$E,'на 01.08.2016'!$M:$N</definedName>
    <definedName name="Z_67ADFAE6_A9AF_44D7_8539_93CD0F6B7849_.wvu.FilterData" localSheetId="0" hidden="1">'на 01.08.2016'!$A$7:$P$397</definedName>
    <definedName name="Z_67ADFAE6_A9AF_44D7_8539_93CD0F6B7849_.wvu.FilterData" localSheetId="1" hidden="1">перечень!$A$3:$D$30</definedName>
    <definedName name="Z_67ADFAE6_A9AF_44D7_8539_93CD0F6B7849_.wvu.PrintArea" localSheetId="0" hidden="1">'на 01.08.2016'!$A$1:$P$199</definedName>
    <definedName name="Z_67ADFAE6_A9AF_44D7_8539_93CD0F6B7849_.wvu.PrintArea" localSheetId="1" hidden="1">перечень!$A$1:$J$34</definedName>
    <definedName name="Z_67ADFAE6_A9AF_44D7_8539_93CD0F6B7849_.wvu.PrintTitles" localSheetId="0" hidden="1">'на 01.08.2016'!$5:$8</definedName>
    <definedName name="Z_67ADFAE6_A9AF_44D7_8539_93CD0F6B7849_.wvu.PrintTitles" localSheetId="1" hidden="1">перечень!$3:$3</definedName>
    <definedName name="Z_69321B6F_CF2A_4DAB_82CF_8CAAD629F257_.wvu.FilterData" localSheetId="0" hidden="1">'на 01.08.2016'!$A$7:$P$397</definedName>
    <definedName name="Z_6BE4E62B_4F97_4F96_9638_8ADCE8F932B1_.wvu.FilterData" localSheetId="0" hidden="1">'на 01.08.2016'!$A$7:$K$139</definedName>
    <definedName name="Z_6BE735CC_AF2E_4F67_B22D_A8AB001D3353_.wvu.FilterData" localSheetId="0" hidden="1">'на 01.08.2016'!$A$7:$K$139</definedName>
    <definedName name="Z_6CF84B0C_144A_4CF4_A34E_B9147B738037_.wvu.FilterData" localSheetId="0" hidden="1">'на 01.08.2016'!$A$7:$K$139</definedName>
    <definedName name="Z_6D692D1F_2186_4B62_878B_AABF13F25116_.wvu.FilterData" localSheetId="0" hidden="1">'на 01.08.2016'!$A$7:$P$397</definedName>
    <definedName name="Z_6E1926CF_4906_4A55_811C_617ED8BB98BA_.wvu.FilterData" localSheetId="0" hidden="1">'на 01.08.2016'!$A$7:$P$397</definedName>
    <definedName name="Z_6E2D6686_B9FD_4BBA_8CD4_95C6386F5509_.wvu.FilterData" localSheetId="0" hidden="1">'на 01.08.2016'!$A$7:$K$139</definedName>
    <definedName name="Z_6ECBF068_1C02_4E6C_B4E6_EB2B6EC464BD_.wvu.FilterData" localSheetId="0" hidden="1">'на 01.08.2016'!$A$7:$P$397</definedName>
    <definedName name="Z_6F1223ED_6D7E_4BDC_97BD_57C6B16DF50B_.wvu.FilterData" localSheetId="0" hidden="1">'на 01.08.2016'!$A$7:$P$397</definedName>
    <definedName name="Z_6F60BF81_D1A9_4E04_93E7_3EE7124B8D23_.wvu.FilterData" localSheetId="0" hidden="1">'на 01.08.2016'!$A$7:$K$139</definedName>
    <definedName name="Z_701E5EC3_E633_4389_A70E_4DD82E713CE4_.wvu.FilterData" localSheetId="0" hidden="1">'на 01.08.2016'!$A$7:$P$397</definedName>
    <definedName name="Z_70567FCD_AD22_4F19_9380_E5332B152F74_.wvu.FilterData" localSheetId="0" hidden="1">'на 01.08.2016'!$A$7:$P$397</definedName>
    <definedName name="Z_706D67E7_3361_40B2_829D_8844AB8060E2_.wvu.FilterData" localSheetId="0" hidden="1">'на 01.08.2016'!$A$7:$K$139</definedName>
    <definedName name="Z_7246383F_5A7C_4469_ABE5_F3DE99D7B98C_.wvu.FilterData" localSheetId="0" hidden="1">'на 01.08.2016'!$A$7:$K$139</definedName>
    <definedName name="Z_72971C39_5C91_4008_BD77_2DC24FDFDCB6_.wvu.FilterData" localSheetId="0" hidden="1">'на 01.08.2016'!$A$7:$P$397</definedName>
    <definedName name="Z_72BCCF18_7B1D_4731_977C_FF5C187A4C82_.wvu.FilterData" localSheetId="0" hidden="1">'на 01.08.2016'!$A$7:$P$397</definedName>
    <definedName name="Z_742C8CE1_B323_4B6C_901C_E2B713ADDB04_.wvu.FilterData" localSheetId="0" hidden="1">'на 01.08.2016'!$A$7:$K$139</definedName>
    <definedName name="Z_762066AC_D656_4392_845D_8C6157B76764_.wvu.FilterData" localSheetId="0" hidden="1">'на 01.08.2016'!$A$7:$K$139</definedName>
    <definedName name="Z_77081AB2_288F_4D22_9FAD_2429DAF1E510_.wvu.FilterData" localSheetId="0" hidden="1">'на 01.08.2016'!$A$7:$P$397</definedName>
    <definedName name="Z_799DB00F_141C_483B_A462_359C05A36D93_.wvu.FilterData" localSheetId="0" hidden="1">'на 01.08.2016'!$A$7:$K$139</definedName>
    <definedName name="Z_79E4D554_5B2C_41A7_B934_B430838AA03E_.wvu.FilterData" localSheetId="0" hidden="1">'на 01.08.2016'!$A$7:$P$397</definedName>
    <definedName name="Z_7A09065A_45D5_4C53_B9DD_121DF6719D64_.wvu.FilterData" localSheetId="0" hidden="1">'на 01.08.2016'!$A$7:$K$139</definedName>
    <definedName name="Z_7AE14342_BF53_4FA2_8C85_1038D8BA9596_.wvu.FilterData" localSheetId="0" hidden="1">'на 01.08.2016'!$A$7:$K$139</definedName>
    <definedName name="Z_7B245AB0_C2AF_4822_BFC4_2399F85856C1_.wvu.Cols" localSheetId="2" hidden="1">Лист1!$C:$E,Лист1!$M:$N</definedName>
    <definedName name="Z_7B245AB0_C2AF_4822_BFC4_2399F85856C1_.wvu.Cols" localSheetId="0" hidden="1">'на 01.08.2016'!$C:$E,'на 01.08.2016'!$M:$N</definedName>
    <definedName name="Z_7B245AB0_C2AF_4822_BFC4_2399F85856C1_.wvu.FilterData" localSheetId="0" hidden="1">'на 01.08.2016'!$A$7:$P$397</definedName>
    <definedName name="Z_7B245AB0_C2AF_4822_BFC4_2399F85856C1_.wvu.FilterData" localSheetId="1" hidden="1">перечень!$A$3:$D$30</definedName>
    <definedName name="Z_7B245AB0_C2AF_4822_BFC4_2399F85856C1_.wvu.PrintArea" localSheetId="0" hidden="1">'на 01.08.2016'!$A$1:$P$190</definedName>
    <definedName name="Z_7B245AB0_C2AF_4822_BFC4_2399F85856C1_.wvu.PrintArea" localSheetId="1" hidden="1">перечень!$A$1:$J$34</definedName>
    <definedName name="Z_7B245AB0_C2AF_4822_BFC4_2399F85856C1_.wvu.PrintTitles" localSheetId="0" hidden="1">'на 01.08.2016'!$5:$8</definedName>
    <definedName name="Z_7B245AB0_C2AF_4822_BFC4_2399F85856C1_.wvu.PrintTitles" localSheetId="1" hidden="1">перечень!$3:$3</definedName>
    <definedName name="Z_7BA445E6_50A0_4F67_81F2_B2945A5BFD3F_.wvu.FilterData" localSheetId="0" hidden="1">'на 01.08.2016'!$A$7:$P$397</definedName>
    <definedName name="Z_7BC27702_AD83_4B6E_860E_D694439F877D_.wvu.FilterData" localSheetId="0" hidden="1">'на 01.08.2016'!$A$7:$K$139</definedName>
    <definedName name="Z_7CB2D520_A8A5_4D6C_BE39_64C505DBAE2C_.wvu.FilterData" localSheetId="0" hidden="1">'на 01.08.2016'!$A$7:$P$397</definedName>
    <definedName name="Z_7DB24378_D193_4D04_9739_831C8625EEAE_.wvu.FilterData" localSheetId="0" hidden="1">'на 01.08.2016'!$A$7:$P$60</definedName>
    <definedName name="Z_81403331_C5EB_4760_B273_D3D9C8D43951_.wvu.FilterData" localSheetId="0" hidden="1">'на 01.08.2016'!$A$7:$K$139</definedName>
    <definedName name="Z_81BE03B7_DE2F_4E82_8496_CAF917D1CC3F_.wvu.FilterData" localSheetId="0" hidden="1">'на 01.08.2016'!$A$7:$P$397</definedName>
    <definedName name="Z_8220CA38_66F1_4F9F_A7AE_CF3DF89B0B66_.wvu.FilterData" localSheetId="0" hidden="1">'на 01.08.2016'!$A$7:$P$397</definedName>
    <definedName name="Z_8280D1E0_5055_49CD_A383_D6B2F2EBD512_.wvu.FilterData" localSheetId="0" hidden="1">'на 01.08.2016'!$A$7:$K$139</definedName>
    <definedName name="Z_840133FA_9546_4ED0_AA3E_E87F8F80931F_.wvu.FilterData" localSheetId="0" hidden="1">'на 01.08.2016'!$A$7:$P$397</definedName>
    <definedName name="Z_8462E4B7_FF49_4401_9CB1_027D70C3D86B_.wvu.FilterData" localSheetId="0" hidden="1">'на 01.08.2016'!$A$7:$K$139</definedName>
    <definedName name="Z_8518EF96_21CF_4CEA_B17C_8AA8E48B82CF_.wvu.FilterData" localSheetId="0" hidden="1">'на 01.08.2016'!$A$7:$P$397</definedName>
    <definedName name="Z_8649CC96_F63A_4F83_8C89_AA8F47AC05F3_.wvu.FilterData" localSheetId="0" hidden="1">'на 01.08.2016'!$A$7:$K$139</definedName>
    <definedName name="Z_8789C1A0_51C5_46EF_B1F1_B319BE008AC1_.wvu.FilterData" localSheetId="0" hidden="1">'на 01.08.2016'!$A$7:$P$397</definedName>
    <definedName name="Z_87AE545F_036F_4E8B_9D04_AE59AB8BAC14_.wvu.FilterData" localSheetId="0" hidden="1">'на 01.08.2016'!$A$7:$K$139</definedName>
    <definedName name="Z_87D86486_B5EF_4463_9350_9D1E042A42DF_.wvu.FilterData" localSheetId="0" hidden="1">'на 01.08.2016'!$A$7:$P$397</definedName>
    <definedName name="Z_8878B53B_0E8A_4A11_8A26_C2AC9BB8A4A9_.wvu.FilterData" localSheetId="0" hidden="1">'на 01.08.2016'!$A$7:$K$139</definedName>
    <definedName name="Z_888B8943_9277_42CB_A862_699801009D7B_.wvu.FilterData" localSheetId="0" hidden="1">'на 01.08.2016'!$A$7:$P$397</definedName>
    <definedName name="Z_8C654415_86D2_479D_A511_8A4B3774E375_.wvu.FilterData" localSheetId="0" hidden="1">'на 01.08.2016'!$A$7:$K$139</definedName>
    <definedName name="Z_8CAD663B_CD5E_4846_B4FD_69BCB6D1EB12_.wvu.FilterData" localSheetId="0" hidden="1">'на 01.08.2016'!$A$7:$K$139</definedName>
    <definedName name="Z_8CB267BE_E783_4914_8FFF_50D79F1D75CF_.wvu.FilterData" localSheetId="0" hidden="1">'на 01.08.2016'!$A$7:$K$139</definedName>
    <definedName name="Z_8D7BE686_9FAF_4C26_8FD5_5395E55E0797_.wvu.FilterData" localSheetId="0" hidden="1">'на 01.08.2016'!$A$7:$K$139</definedName>
    <definedName name="Z_8D8D2F4C_3B7E_4C1F_A367_4BA418733E1A_.wvu.FilterData" localSheetId="0" hidden="1">'на 01.08.2016'!$A$7:$K$139</definedName>
    <definedName name="Z_8E62A2BE_7CE7_496E_AC79_F133ABDC98BF_.wvu.FilterData" localSheetId="0" hidden="1">'на 01.08.2016'!$A$7:$K$139</definedName>
    <definedName name="Z_8EEB3EFB_2D0D_474D_A904_853356F13984_.wvu.FilterData" localSheetId="0" hidden="1">'на 01.08.2016'!$A$7:$P$397</definedName>
    <definedName name="Z_9089CAE7_C9D5_4B44_BF40_622C1D4BEC1A_.wvu.FilterData" localSheetId="0" hidden="1">'на 01.08.2016'!$A$7:$P$397</definedName>
    <definedName name="Z_90B62036_E8E2_47F2_BA67_9490969E5E89_.wvu.FilterData" localSheetId="0" hidden="1">'на 01.08.2016'!$A$7:$P$397</definedName>
    <definedName name="Z_91A44DD7_EFA1_45BC_BF8A_C6EBAED142C3_.wvu.FilterData" localSheetId="0" hidden="1">'на 01.08.2016'!$A$7:$P$397</definedName>
    <definedName name="Z_92A69ACC_08E1_4049_9A4E_909BE09E8D3F_.wvu.FilterData" localSheetId="0" hidden="1">'на 01.08.2016'!$A$7:$P$397</definedName>
    <definedName name="Z_92A7494D_B642_4D2E_8A98_FA3ADD190BCE_.wvu.FilterData" localSheetId="0" hidden="1">'на 01.08.2016'!$A$7:$P$397</definedName>
    <definedName name="Z_92E38377_38CC_496E_BBD8_5394F7550FE3_.wvu.FilterData" localSheetId="0" hidden="1">'на 01.08.2016'!$A$7:$P$397</definedName>
    <definedName name="Z_93030161_EBD2_4C55_BB01_67290B2149A7_.wvu.FilterData" localSheetId="0" hidden="1">'на 01.08.2016'!$A$7:$P$397</definedName>
    <definedName name="Z_935DFEC4_8817_4BB5_A846_9674D5A05EE9_.wvu.FilterData" localSheetId="0" hidden="1">'на 01.08.2016'!$A$7:$K$139</definedName>
    <definedName name="Z_944D1186_FA84_48E6_9A44_19022D55084A_.wvu.FilterData" localSheetId="0" hidden="1">'на 01.08.2016'!$A$7:$P$397</definedName>
    <definedName name="Z_94E3B816_367C_44F4_94FC_13D42F694C13_.wvu.FilterData" localSheetId="0" hidden="1">'на 01.08.2016'!$A$7:$P$397</definedName>
    <definedName name="Z_95B5A563_A81C_425C_AC80_18232E0FA0F2_.wvu.FilterData" localSheetId="0" hidden="1">'на 01.08.2016'!$A$7:$K$139</definedName>
    <definedName name="Z_96167660_EA8B_4F7D_87A1_785E97B459B3_.wvu.FilterData" localSheetId="0" hidden="1">'на 01.08.2016'!$A$7:$K$139</definedName>
    <definedName name="Z_96879477_4713_4ABC_982A_7EB1C07B4DED_.wvu.FilterData" localSheetId="0" hidden="1">'на 01.08.2016'!$A$7:$K$139</definedName>
    <definedName name="Z_969E164A_AA47_4A3D_AECC_F3C5A8BBA40A_.wvu.FilterData" localSheetId="0" hidden="1">'на 01.08.2016'!$A$7:$P$397</definedName>
    <definedName name="Z_97B55429_A18E_43B5_9AF8_FE73FCDE4BBB_.wvu.FilterData" localSheetId="0" hidden="1">'на 01.08.2016'!$A$7:$P$397</definedName>
    <definedName name="Z_97F74FDF_2C27_4D85_A3A7_1EF51A8A2DFF_.wvu.FilterData" localSheetId="0" hidden="1">'на 01.08.2016'!$A$7:$K$139</definedName>
    <definedName name="Z_987C1B6D_28A7_49CB_BBF0_6C3FFB9FC1C5_.wvu.FilterData" localSheetId="0" hidden="1">'на 01.08.2016'!$A$7:$P$397</definedName>
    <definedName name="Z_998B8119_4FF3_4A16_838D_539C6AE34D55_.wvu.Cols" localSheetId="0" hidden="1">'на 01.08.2016'!$C:$E,'на 01.08.2016'!$M:$N</definedName>
    <definedName name="Z_998B8119_4FF3_4A16_838D_539C6AE34D55_.wvu.FilterData" localSheetId="0" hidden="1">'на 01.08.2016'!$A$7:$P$397</definedName>
    <definedName name="Z_998B8119_4FF3_4A16_838D_539C6AE34D55_.wvu.FilterData" localSheetId="1" hidden="1">перечень!$A$3:$D$30</definedName>
    <definedName name="Z_998B8119_4FF3_4A16_838D_539C6AE34D55_.wvu.PrintArea" localSheetId="0" hidden="1">'на 01.08.2016'!$A$1:$P$190</definedName>
    <definedName name="Z_998B8119_4FF3_4A16_838D_539C6AE34D55_.wvu.PrintArea" localSheetId="1" hidden="1">перечень!$A$1:$J$34</definedName>
    <definedName name="Z_998B8119_4FF3_4A16_838D_539C6AE34D55_.wvu.PrintTitles" localSheetId="0" hidden="1">'на 01.08.2016'!$5:$8</definedName>
    <definedName name="Z_998B8119_4FF3_4A16_838D_539C6AE34D55_.wvu.PrintTitles" localSheetId="1" hidden="1">перечень!$3:$3</definedName>
    <definedName name="Z_9A769443_7DFA_43D5_AB26_6F2EEF53DAF1_.wvu.FilterData" localSheetId="0" hidden="1">'на 01.08.2016'!$A$7:$K$139</definedName>
    <definedName name="Z_9C310551_EC8B_4B87_B5AF_39FC532C6FE3_.wvu.FilterData" localSheetId="0" hidden="1">'на 01.08.2016'!$A$7:$K$139</definedName>
    <definedName name="Z_9D24C81C_5B18_4B40_BF88_7236C9CAE366_.wvu.FilterData" localSheetId="0" hidden="1">'на 01.08.2016'!$A$7:$K$139</definedName>
    <definedName name="Z_9E720D93_31F0_4636_BA00_6CE6F83F3651_.wvu.FilterData" localSheetId="0" hidden="1">'на 01.08.2016'!$A$7:$P$397</definedName>
    <definedName name="Z_9E943B7D_D4C7_443F_BC4C_8AB90546D8A5_.wvu.Cols" localSheetId="0" hidden="1">'на 01.08.2016'!#REF!,'на 01.08.2016'!#REF!</definedName>
    <definedName name="Z_9E943B7D_D4C7_443F_BC4C_8AB90546D8A5_.wvu.FilterData" localSheetId="0" hidden="1">'на 01.08.2016'!$A$3:$P$60</definedName>
    <definedName name="Z_9E943B7D_D4C7_443F_BC4C_8AB90546D8A5_.wvu.PrintTitles" localSheetId="0" hidden="1">'на 01.08.2016'!$5:$8</definedName>
    <definedName name="Z_9E943B7D_D4C7_443F_BC4C_8AB90546D8A5_.wvu.Rows" localSheetId="0" hidden="1">'на 01.08.2016'!#REF!,'на 01.08.2016'!#REF!,'на 01.08.2016'!#REF!,'на 01.08.2016'!#REF!,'на 01.08.2016'!#REF!,'на 01.08.2016'!#REF!,'на 01.08.2016'!#REF!,'на 01.08.2016'!#REF!,'на 01.08.2016'!#REF!,'на 01.08.2016'!#REF!,'на 01.08.2016'!#REF!,'на 01.08.2016'!#REF!,'на 01.08.2016'!#REF!,'на 01.08.2016'!#REF!,'на 01.08.2016'!#REF!,'на 01.08.2016'!#REF!,'на 01.08.2016'!#REF!,'на 01.08.2016'!#REF!,'на 01.08.2016'!#REF!,'на 01.08.2016'!#REF!</definedName>
    <definedName name="Z_9EC99D85_9CBB_4D41_A0AC_5A782960B43C_.wvu.FilterData" localSheetId="0" hidden="1">'на 01.08.2016'!$A$7:$K$139</definedName>
    <definedName name="Z_A0A3CD9B_2436_40D7_91DB_589A95FBBF00_.wvu.Cols" localSheetId="2" hidden="1">Лист1!$C:$E,Лист1!$M:$N</definedName>
    <definedName name="Z_A0A3CD9B_2436_40D7_91DB_589A95FBBF00_.wvu.Cols" localSheetId="0" hidden="1">'на 01.08.2016'!$C:$E,'на 01.08.2016'!$M:$N</definedName>
    <definedName name="Z_A0A3CD9B_2436_40D7_91DB_589A95FBBF00_.wvu.FilterData" localSheetId="0" hidden="1">'на 01.08.2016'!$A$7:$P$397</definedName>
    <definedName name="Z_A0A3CD9B_2436_40D7_91DB_589A95FBBF00_.wvu.FilterData" localSheetId="1" hidden="1">перечень!$A$3:$D$30</definedName>
    <definedName name="Z_A0A3CD9B_2436_40D7_91DB_589A95FBBF00_.wvu.PrintArea" localSheetId="0" hidden="1">'на 01.08.2016'!$A$1:$P$199</definedName>
    <definedName name="Z_A0A3CD9B_2436_40D7_91DB_589A95FBBF00_.wvu.PrintArea" localSheetId="1" hidden="1">перечень!$A$1:$J$34</definedName>
    <definedName name="Z_A0A3CD9B_2436_40D7_91DB_589A95FBBF00_.wvu.PrintTitles" localSheetId="0" hidden="1">'на 01.08.2016'!$5:$8</definedName>
    <definedName name="Z_A0A3CD9B_2436_40D7_91DB_589A95FBBF00_.wvu.PrintTitles" localSheetId="1" hidden="1">перечень!$3:$3</definedName>
    <definedName name="Z_A0EB0A04_1124_498B_8C4B_C1E25B53C1A8_.wvu.FilterData" localSheetId="0" hidden="1">'на 01.08.2016'!$A$7:$K$139</definedName>
    <definedName name="Z_A113B19A_DB2C_4585_AED7_B7EF9F05E57E_.wvu.FilterData" localSheetId="0" hidden="1">'на 01.08.2016'!$A$7:$P$397</definedName>
    <definedName name="Z_A2611F3A_C06C_4662_B39E_6F08BA7C9B14_.wvu.FilterData" localSheetId="0" hidden="1">'на 01.08.2016'!$A$7:$K$139</definedName>
    <definedName name="Z_A28DA500_33FC_4913_B21A_3E2D7ED7A130_.wvu.FilterData" localSheetId="0" hidden="1">'на 01.08.2016'!$A$7:$K$139</definedName>
    <definedName name="Z_A62258B9_7768_4C4F_AFFC_537782E81CFF_.wvu.FilterData" localSheetId="0" hidden="1">'на 01.08.2016'!$A$7:$K$139</definedName>
    <definedName name="Z_A65D4FF6_26A1_47FE_AF98_41E05002FB1E_.wvu.FilterData" localSheetId="0" hidden="1">'на 01.08.2016'!$A$7:$K$139</definedName>
    <definedName name="Z_A6B98527_7CBF_4E4D_BDEA_9334A3EB779F_.wvu.Cols" localSheetId="0" hidden="1">'на 01.08.2016'!$C:$E,'на 01.08.2016'!$M:$N,'на 01.08.2016'!$Q:$BT</definedName>
    <definedName name="Z_A6B98527_7CBF_4E4D_BDEA_9334A3EB779F_.wvu.FilterData" localSheetId="0" hidden="1">'на 01.08.2016'!$A$7:$P$397</definedName>
    <definedName name="Z_A6B98527_7CBF_4E4D_BDEA_9334A3EB779F_.wvu.FilterData" localSheetId="1" hidden="1">перечень!$A$3:$D$30</definedName>
    <definedName name="Z_A6B98527_7CBF_4E4D_BDEA_9334A3EB779F_.wvu.PrintArea" localSheetId="0" hidden="1">'на 01.08.2016'!$A$1:$BT$190</definedName>
    <definedName name="Z_A6B98527_7CBF_4E4D_BDEA_9334A3EB779F_.wvu.PrintArea" localSheetId="1" hidden="1">перечень!$A$1:$J$34</definedName>
    <definedName name="Z_A6B98527_7CBF_4E4D_BDEA_9334A3EB779F_.wvu.PrintTitles" localSheetId="0" hidden="1">'на 01.08.2016'!$5:$7</definedName>
    <definedName name="Z_A6B98527_7CBF_4E4D_BDEA_9334A3EB779F_.wvu.PrintTitles" localSheetId="1" hidden="1">перечень!$3:$3</definedName>
    <definedName name="Z_A98C96B5_CE3A_4FF9_B3E5_0DBB66ADC5BB_.wvu.FilterData" localSheetId="0" hidden="1">'на 01.08.2016'!$A$7:$K$139</definedName>
    <definedName name="Z_A9BB2943_E4B1_4809_A926_69F8C50E1CF2_.wvu.FilterData" localSheetId="0" hidden="1">'на 01.08.2016'!$A$7:$P$397</definedName>
    <definedName name="Z_AA4C7BF5_07E0_4095_B165_D2AF600190FA_.wvu.FilterData" localSheetId="0" hidden="1">'на 01.08.2016'!$A$7:$K$139</definedName>
    <definedName name="Z_AAC4B5AB_1913_4D9C_A1FF_BD9345E009EB_.wvu.FilterData" localSheetId="0" hidden="1">'на 01.08.2016'!$A$7:$K$139</definedName>
    <definedName name="Z_ABAF42E6_6CD6_46B1_A0C6_0099C207BC1C_.wvu.FilterData" localSheetId="0" hidden="1">'на 01.08.2016'!$A$7:$P$397</definedName>
    <definedName name="Z_AD079EA2_4E18_46EE_8E20_0C7923C917D2_.wvu.FilterData" localSheetId="0" hidden="1">'на 01.08.2016'!$A$7:$P$397</definedName>
    <definedName name="Z_AF01D870_77CB_46A2_A95B_3A27FF42EAA8_.wvu.FilterData" localSheetId="0" hidden="1">'на 01.08.2016'!$A$7:$K$139</definedName>
    <definedName name="Z_AF1AEFF5_9892_4FCB_BD3E_6CF1CEE1B71B_.wvu.FilterData" localSheetId="0" hidden="1">'на 01.08.2016'!$A$7:$P$397</definedName>
    <definedName name="Z_AFC26506_1EE1_430F_B247_3257CE41958A_.wvu.FilterData" localSheetId="0" hidden="1">'на 01.08.2016'!$A$7:$P$397</definedName>
    <definedName name="Z_B00B4D71_156E_4DD9_93CC_1F392CBA035F_.wvu.FilterData" localSheetId="0" hidden="1">'на 01.08.2016'!$A$7:$P$397</definedName>
    <definedName name="Z_B180D137_9F25_4AD4_9057_37928F1867A8_.wvu.FilterData" localSheetId="0" hidden="1">'на 01.08.2016'!$A$7:$K$139</definedName>
    <definedName name="Z_B246A3A0_6AE0_4610_AE7A_F7490C26DBCA_.wvu.FilterData" localSheetId="0" hidden="1">'на 01.08.2016'!$A$7:$P$397</definedName>
    <definedName name="Z_B2D38EAC_E767_43A7_B7A2_621639FE347D_.wvu.FilterData" localSheetId="0" hidden="1">'на 01.08.2016'!$A$7:$K$139</definedName>
    <definedName name="Z_B3114865_FFF9_40B7_B9E6_C3642102DCF9_.wvu.FilterData" localSheetId="0" hidden="1">'на 01.08.2016'!$A$7:$P$397</definedName>
    <definedName name="Z_B3339176_D3D0_4D7A_8AAB_C0B71F942A93_.wvu.FilterData" localSheetId="0" hidden="1">'на 01.08.2016'!$A$7:$K$139</definedName>
    <definedName name="Z_B45FAC42_679D_43AB_B511_9E5492CAC2DB_.wvu.FilterData" localSheetId="0" hidden="1">'на 01.08.2016'!$A$7:$K$139</definedName>
    <definedName name="Z_B499C08D_A2E7_417F_A9B7_BFCE2B66534F_.wvu.FilterData" localSheetId="0" hidden="1">'на 01.08.2016'!$A$7:$P$397</definedName>
    <definedName name="Z_B5533D56_E1AE_4DE7_8436_EF9CA55A4943_.wvu.FilterData" localSheetId="0" hidden="1">'на 01.08.2016'!$A$7:$P$397</definedName>
    <definedName name="Z_B56BEF44_39DC_4F5B_A5E5_157C237832AF_.wvu.FilterData" localSheetId="0" hidden="1">'на 01.08.2016'!$A$7:$K$139</definedName>
    <definedName name="Z_B5A6FE62_B66C_45B1_AF17_B7686B0B3A3F_.wvu.FilterData" localSheetId="0" hidden="1">'на 01.08.2016'!$A$7:$P$397</definedName>
    <definedName name="Z_B603D180_E09A_4B9C_810F_9423EBA4A0EA_.wvu.FilterData" localSheetId="0" hidden="1">'на 01.08.2016'!$A$7:$P$397</definedName>
    <definedName name="Z_B698776A_6A96_445D_9813_F5440DD90495_.wvu.FilterData" localSheetId="0" hidden="1">'на 01.08.2016'!$A$7:$P$397</definedName>
    <definedName name="Z_B7A4DC29_6CA3_48BD_BD2B_5EA61D250392_.wvu.FilterData" localSheetId="0" hidden="1">'на 01.08.2016'!$A$7:$K$139</definedName>
    <definedName name="Z_B7F67755_3086_43A6_86E7_370F80E61BD0_.wvu.FilterData" localSheetId="0" hidden="1">'на 01.08.2016'!$A$7:$K$139</definedName>
    <definedName name="Z_BAB4825B_2E54_4A6C_A72D_1F8E7B4FEFFB_.wvu.FilterData" localSheetId="0" hidden="1">'на 01.08.2016'!$A$7:$P$397</definedName>
    <definedName name="Z_BC09D690_D177_4FC8_AE1F_8F0F0D5C6ECD_.wvu.FilterData" localSheetId="0" hidden="1">'на 01.08.2016'!$A$7:$P$397</definedName>
    <definedName name="Z_BC6910FC_42F8_457B_8F8D_9BC0111CE283_.wvu.FilterData" localSheetId="0" hidden="1">'на 01.08.2016'!$A$7:$P$397</definedName>
    <definedName name="Z_BE442298_736F_47F5_9592_76FFCCDA59DB_.wvu.FilterData" localSheetId="0" hidden="1">'на 01.08.2016'!$A$7:$K$139</definedName>
    <definedName name="Z_BE97AC31_BFEB_4520_BC44_68B0C987C70A_.wvu.FilterData" localSheetId="0" hidden="1">'на 01.08.2016'!$A$7:$P$397</definedName>
    <definedName name="Z_BEA0FDBA_BB07_4C19_8BBD_5E57EE395C09_.wvu.Cols" localSheetId="2" hidden="1">Лист1!$C:$E,Лист1!$M:$N</definedName>
    <definedName name="Z_BEA0FDBA_BB07_4C19_8BBD_5E57EE395C09_.wvu.Cols" localSheetId="0" hidden="1">'на 01.08.2016'!$C:$E,'на 01.08.2016'!$M:$N</definedName>
    <definedName name="Z_BEA0FDBA_BB07_4C19_8BBD_5E57EE395C09_.wvu.FilterData" localSheetId="0" hidden="1">'на 01.08.2016'!$A$7:$P$397</definedName>
    <definedName name="Z_BEA0FDBA_BB07_4C19_8BBD_5E57EE395C09_.wvu.FilterData" localSheetId="1" hidden="1">перечень!$A$3:$D$30</definedName>
    <definedName name="Z_BEA0FDBA_BB07_4C19_8BBD_5E57EE395C09_.wvu.PrintArea" localSheetId="0" hidden="1">'на 01.08.2016'!$A$1:$P$190</definedName>
    <definedName name="Z_BEA0FDBA_BB07_4C19_8BBD_5E57EE395C09_.wvu.PrintArea" localSheetId="1" hidden="1">перечень!$A$1:$J$34</definedName>
    <definedName name="Z_BEA0FDBA_BB07_4C19_8BBD_5E57EE395C09_.wvu.PrintTitles" localSheetId="0" hidden="1">'на 01.08.2016'!$5:$8</definedName>
    <definedName name="Z_BEA0FDBA_BB07_4C19_8BBD_5E57EE395C09_.wvu.PrintTitles" localSheetId="1" hidden="1">перечень!$3:$3</definedName>
    <definedName name="Z_BF65F093_304D_44F0_BF26_E5F8F9093CF5_.wvu.FilterData" localSheetId="0" hidden="1">'на 01.08.2016'!$A$7:$P$60</definedName>
    <definedName name="Z_C2E7FF11_4F7B_4EA9_AD45_A8385AC4BC24_.wvu.FilterData" localSheetId="0" hidden="1">'на 01.08.2016'!$A$7:$K$139</definedName>
    <definedName name="Z_C3E7B974_7E68_49C9_8A66_DEBBC3D71CB8_.wvu.FilterData" localSheetId="0" hidden="1">'на 01.08.2016'!$A$7:$K$139</definedName>
    <definedName name="Z_C47D5376_4107_461D_B353_0F0CCA5A27B8_.wvu.FilterData" localSheetId="0" hidden="1">'на 01.08.2016'!$A$7:$K$139</definedName>
    <definedName name="Z_C4A81194_E272_4927_9E06_D47C43E50753_.wvu.FilterData" localSheetId="0" hidden="1">'на 01.08.2016'!$A$7:$P$397</definedName>
    <definedName name="Z_C55D9313_9108_41CA_AD0E_FE2F7292C638_.wvu.FilterData" localSheetId="0" hidden="1">'на 01.08.2016'!$A$7:$K$139</definedName>
    <definedName name="Z_C5D84F85_3611_4C2A_903D_ECFF3A3DA3D9_.wvu.FilterData" localSheetId="0" hidden="1">'на 01.08.2016'!$A$7:$K$139</definedName>
    <definedName name="Z_C70C85CF_5ADB_4631_87C7_BA23E9BE3196_.wvu.FilterData" localSheetId="0" hidden="1">'на 01.08.2016'!$A$7:$P$397</definedName>
    <definedName name="Z_C74598AC_1D4B_466D_8455_294C1A2E69BB_.wvu.FilterData" localSheetId="0" hidden="1">'на 01.08.2016'!$A$7:$K$139</definedName>
    <definedName name="Z_C8C7D91A_0101_429D_A7C4_25C2A366909A_.wvu.Cols" localSheetId="0" hidden="1">'на 01.08.2016'!#REF!,'на 01.08.2016'!#REF!</definedName>
    <definedName name="Z_C8C7D91A_0101_429D_A7C4_25C2A366909A_.wvu.FilterData" localSheetId="0" hidden="1">'на 01.08.2016'!$A$7:$P$60</definedName>
    <definedName name="Z_C8C7D91A_0101_429D_A7C4_25C2A366909A_.wvu.Rows" localSheetId="0" hidden="1">'на 01.08.2016'!#REF!,'на 01.08.2016'!#REF!,'на 01.08.2016'!#REF!,'на 01.08.2016'!#REF!,'на 01.08.2016'!#REF!,'на 01.08.2016'!#REF!,'на 01.08.2016'!#REF!,'на 01.08.2016'!#REF!,'на 01.08.2016'!#REF!,'на 01.08.2016'!#REF!</definedName>
    <definedName name="Z_C98B4A4E_FC1F_45B3_ABB0_7DC9BD4B8057_.wvu.FilterData" localSheetId="0" hidden="1">'на 01.08.2016'!$A$7:$K$139</definedName>
    <definedName name="Z_CAAD7F8A_A328_4C0A_9ECF_2AD83A08D699_.wvu.FilterData" localSheetId="0" hidden="1">'на 01.08.2016'!$A$7:$K$139</definedName>
    <definedName name="Z_CB1A56DC_A135_41E6_8A02_AE4E518C879F_.wvu.FilterData" localSheetId="0" hidden="1">'на 01.08.2016'!$A$7:$P$397</definedName>
    <definedName name="Z_CB1A56DC_A135_41E6_8A02_AE4E518C879F_.wvu.FilterData" localSheetId="1" hidden="1">перечень!$A$3:$D$30</definedName>
    <definedName name="Z_CB1A56DC_A135_41E6_8A02_AE4E518C879F_.wvu.PrintArea" localSheetId="1" hidden="1">перечень!$A$1:$J$34</definedName>
    <definedName name="Z_CB1A56DC_A135_41E6_8A02_AE4E518C879F_.wvu.PrintTitles" localSheetId="1" hidden="1">перечень!$3:$3</definedName>
    <definedName name="Z_CB4880DD_CE83_4DFC_BBA7_70687256D5A4_.wvu.FilterData" localSheetId="0" hidden="1">'на 01.08.2016'!$A$7:$K$139</definedName>
    <definedName name="Z_CBDBA949_FA00_4560_8001_BD00E63FCCA4_.wvu.FilterData" localSheetId="0" hidden="1">'на 01.08.2016'!$A$7:$P$397</definedName>
    <definedName name="Z_CBF12BD1_A071_4448_8003_32E74F40E3E3_.wvu.FilterData" localSheetId="0" hidden="1">'на 01.08.2016'!$A$7:$K$139</definedName>
    <definedName name="Z_CBF9D894_3FD2_4B68_BAC8_643DB23851C0_.wvu.FilterData" localSheetId="0" hidden="1">'на 01.08.2016'!$A$7:$K$139</definedName>
    <definedName name="Z_CBF9D894_3FD2_4B68_BAC8_643DB23851C0_.wvu.Rows" localSheetId="0" hidden="1">'на 01.08.2016'!#REF!,'на 01.08.2016'!#REF!,'на 01.08.2016'!#REF!,'на 01.08.2016'!#REF!</definedName>
    <definedName name="Z_CCC17219_B1A3_4C6B_B903_0E4550432FD0_.wvu.FilterData" localSheetId="0" hidden="1">'на 01.08.2016'!$A$7:$K$139</definedName>
    <definedName name="Z_D165341F_496A_48CE_829A_555B16787041_.wvu.FilterData" localSheetId="0" hidden="1">'на 01.08.2016'!$A$7:$P$397</definedName>
    <definedName name="Z_D20DFCFE_63F9_4265_B37B_4F36C46DF159_.wvu.Cols" localSheetId="0" hidden="1">'на 01.08.2016'!$C:$E,'на 01.08.2016'!$M:$N</definedName>
    <definedName name="Z_D20DFCFE_63F9_4265_B37B_4F36C46DF159_.wvu.FilterData" localSheetId="0" hidden="1">'на 01.08.2016'!$A$7:$P$397</definedName>
    <definedName name="Z_D20DFCFE_63F9_4265_B37B_4F36C46DF159_.wvu.FilterData" localSheetId="1" hidden="1">перечень!$A$3:$D$30</definedName>
    <definedName name="Z_D20DFCFE_63F9_4265_B37B_4F36C46DF159_.wvu.PrintArea" localSheetId="0" hidden="1">'на 01.08.2016'!$A$1:$P$190</definedName>
    <definedName name="Z_D20DFCFE_63F9_4265_B37B_4F36C46DF159_.wvu.PrintArea" localSheetId="1" hidden="1">перечень!$A$1:$J$34</definedName>
    <definedName name="Z_D20DFCFE_63F9_4265_B37B_4F36C46DF159_.wvu.PrintTitles" localSheetId="0" hidden="1">'на 01.08.2016'!$5:$8</definedName>
    <definedName name="Z_D20DFCFE_63F9_4265_B37B_4F36C46DF159_.wvu.PrintTitles" localSheetId="1" hidden="1">перечень!$3:$3</definedName>
    <definedName name="Z_D20DFCFE_63F9_4265_B37B_4F36C46DF159_.wvu.Rows" localSheetId="0" hidden="1">'на 01.08.2016'!#REF!,'на 01.08.2016'!#REF!,'на 01.08.2016'!#REF!,'на 01.08.2016'!#REF!,'на 01.08.2016'!#REF!</definedName>
    <definedName name="Z_D26EAC32_42CC_46AF_8D27_8094727B2B8E_.wvu.FilterData" localSheetId="0" hidden="1">'на 01.08.2016'!$A$7:$P$397</definedName>
    <definedName name="Z_D298563F_7459_410D_A6E1_6B1CDFA6DAA7_.wvu.FilterData" localSheetId="0" hidden="1">'на 01.08.2016'!$A$7:$P$397</definedName>
    <definedName name="Z_D2D627FD_8F1D_4B0C_A4A1_1A515A2831A8_.wvu.FilterData" localSheetId="0" hidden="1">'на 01.08.2016'!$A$7:$P$397</definedName>
    <definedName name="Z_D343F548_3DE6_4716_9B8B_0FF1DF1B1DE3_.wvu.FilterData" localSheetId="0" hidden="1">'на 01.08.2016'!$A$7:$K$139</definedName>
    <definedName name="Z_D3607008_88A4_4735_BF9B_0D60A732D98C_.wvu.FilterData" localSheetId="0" hidden="1">'на 01.08.2016'!$A$7:$P$397</definedName>
    <definedName name="Z_D3C3EFC2_493C_4B9B_BC16_8147B08F8F65_.wvu.FilterData" localSheetId="0" hidden="1">'на 01.08.2016'!$A$7:$K$139</definedName>
    <definedName name="Z_D3D848E7_EB88_4E73_985E_C45B9AE68145_.wvu.FilterData" localSheetId="0" hidden="1">'на 01.08.2016'!$A$7:$P$397</definedName>
    <definedName name="Z_D3E86F4B_12A8_47CC_AEBE_74534991E315_.wvu.FilterData" localSheetId="0" hidden="1">'на 01.08.2016'!$A$7:$P$397</definedName>
    <definedName name="Z_D3F31BC4_4CDA_431B_BA5F_ADE76A923760_.wvu.FilterData" localSheetId="0" hidden="1">'на 01.08.2016'!$A$7:$K$139</definedName>
    <definedName name="Z_D45ABB34_16CC_462D_8459_2034D47F465D_.wvu.FilterData" localSheetId="0" hidden="1">'на 01.08.2016'!$A$7:$K$139</definedName>
    <definedName name="Z_D479007E_A9E8_4307_A3E8_18A2BB5C55F2_.wvu.FilterData" localSheetId="0" hidden="1">'на 01.08.2016'!$A$7:$P$397</definedName>
    <definedName name="Z_D48CEF89_B01B_4E1D_92B4_235EA4A40F11_.wvu.FilterData" localSheetId="0" hidden="1">'на 01.08.2016'!$A$7:$P$397</definedName>
    <definedName name="Z_D4B24D18_8D1D_47A1_AE9B_21E3F9EF98EE_.wvu.FilterData" localSheetId="0" hidden="1">'на 01.08.2016'!$A$7:$P$397</definedName>
    <definedName name="Z_D4E20E73_FD07_4BE4_B8FA_FE6B214643C4_.wvu.FilterData" localSheetId="0" hidden="1">'на 01.08.2016'!$A$7:$P$397</definedName>
    <definedName name="Z_D5317C3A_3EDA_404B_818D_EAF558810951_.wvu.FilterData" localSheetId="0" hidden="1">'на 01.08.2016'!$A$7:$K$139</definedName>
    <definedName name="Z_D537FB3B_712D_486A_BA32_4F73BEB2AA19_.wvu.FilterData" localSheetId="0" hidden="1">'на 01.08.2016'!$A$7:$K$139</definedName>
    <definedName name="Z_D6730C21_0555_4F4D_B589_9DE5CFF9C442_.wvu.FilterData" localSheetId="0" hidden="1">'на 01.08.2016'!$A$7:$K$139</definedName>
    <definedName name="Z_D7BC8E82_4392_4806_9DAE_D94253790B9C_.wvu.Cols" localSheetId="0" hidden="1">'на 01.08.2016'!$C:$E,'на 01.08.2016'!$M:$N,'на 01.08.2016'!$Q:$BT</definedName>
    <definedName name="Z_D7BC8E82_4392_4806_9DAE_D94253790B9C_.wvu.FilterData" localSheetId="0" hidden="1">'на 01.08.2016'!$A$7:$P$397</definedName>
    <definedName name="Z_D7BC8E82_4392_4806_9DAE_D94253790B9C_.wvu.FilterData" localSheetId="1" hidden="1">перечень!$A$3:$D$30</definedName>
    <definedName name="Z_D7BC8E82_4392_4806_9DAE_D94253790B9C_.wvu.PrintArea" localSheetId="0" hidden="1">'на 01.08.2016'!$A$1:$BT$190</definedName>
    <definedName name="Z_D7BC8E82_4392_4806_9DAE_D94253790B9C_.wvu.PrintArea" localSheetId="1" hidden="1">перечень!$A$1:$J$34</definedName>
    <definedName name="Z_D7BC8E82_4392_4806_9DAE_D94253790B9C_.wvu.PrintTitles" localSheetId="0" hidden="1">'на 01.08.2016'!$5:$7</definedName>
    <definedName name="Z_D7BC8E82_4392_4806_9DAE_D94253790B9C_.wvu.PrintTitles" localSheetId="1" hidden="1">перечень!$3:$3</definedName>
    <definedName name="Z_D8418465_ECB6_40A4_8538_9D6D02B4E5CE_.wvu.FilterData" localSheetId="0" hidden="1">'на 01.08.2016'!$A$7:$K$139</definedName>
    <definedName name="Z_D8836A46_4276_4875_86A1_BB0E2B53006C_.wvu.FilterData" localSheetId="0" hidden="1">'на 01.08.2016'!$A$7:$K$139</definedName>
    <definedName name="Z_D8EBE17E_7A1A_4392_901C_A4C8DD4BAF28_.wvu.FilterData" localSheetId="0" hidden="1">'на 01.08.2016'!$A$7:$K$139</definedName>
    <definedName name="Z_D93C7415_B321_4E66_84AD_0490D011FDE7_.wvu.FilterData" localSheetId="0" hidden="1">'на 01.08.2016'!$A$7:$P$397</definedName>
    <definedName name="Z_D954D534_B88D_4A21_85D6_C0757B597D1E_.wvu.FilterData" localSheetId="0" hidden="1">'на 01.08.2016'!$A$7:$P$397</definedName>
    <definedName name="Z_D95852A1_B0FC_4AC5_B62B_5CCBE05B0D15_.wvu.Cols" localSheetId="2" hidden="1">Лист1!$C:$E,Лист1!$M:$N</definedName>
    <definedName name="Z_D95852A1_B0FC_4AC5_B62B_5CCBE05B0D15_.wvu.Cols" localSheetId="0" hidden="1">'на 01.08.2016'!$C:$E,'на 01.08.2016'!$M:$N</definedName>
    <definedName name="Z_D95852A1_B0FC_4AC5_B62B_5CCBE05B0D15_.wvu.FilterData" localSheetId="0" hidden="1">'на 01.08.2016'!$A$7:$P$397</definedName>
    <definedName name="Z_D95852A1_B0FC_4AC5_B62B_5CCBE05B0D15_.wvu.FilterData" localSheetId="1" hidden="1">перечень!$A$3:$D$30</definedName>
    <definedName name="Z_D95852A1_B0FC_4AC5_B62B_5CCBE05B0D15_.wvu.PrintArea" localSheetId="0" hidden="1">'на 01.08.2016'!$A$1:$P$190</definedName>
    <definedName name="Z_D95852A1_B0FC_4AC5_B62B_5CCBE05B0D15_.wvu.PrintArea" localSheetId="1" hidden="1">перечень!$A$1:$J$34</definedName>
    <definedName name="Z_D95852A1_B0FC_4AC5_B62B_5CCBE05B0D15_.wvu.PrintTitles" localSheetId="1" hidden="1">перечень!$3:$3</definedName>
    <definedName name="Z_D97BC9A1_860C_45CB_8FAD_B69CEE39193C_.wvu.FilterData" localSheetId="0" hidden="1">'на 01.08.2016'!$A$7:$K$139</definedName>
    <definedName name="Z_DA3033F1_502F_4BCA_B468_CBA3E20E7254_.wvu.FilterData" localSheetId="0" hidden="1">'на 01.08.2016'!$A$7:$P$397</definedName>
    <definedName name="Z_DA5DFA2D_C1AA_42F5_8828_D1905F1C9BD0_.wvu.FilterData" localSheetId="0" hidden="1">'на 01.08.2016'!$A$7:$P$397</definedName>
    <definedName name="Z_DBB88EE7_5C30_443C_A427_07BA2C7C58DA_.wvu.FilterData" localSheetId="0" hidden="1">'на 01.08.2016'!$A$7:$P$397</definedName>
    <definedName name="Z_DBF40914_927D_466F_8B6B_F333D1AFC9B0_.wvu.FilterData" localSheetId="0" hidden="1">'на 01.08.2016'!$A$7:$P$397</definedName>
    <definedName name="Z_DC263B7F_7E05_4E66_AE9F_05D6DDE635B1_.wvu.FilterData" localSheetId="0" hidden="1">'на 01.08.2016'!$A$7:$K$139</definedName>
    <definedName name="Z_DC796824_ECED_4590_A3E8_8D5A3534C637_.wvu.FilterData" localSheetId="0" hidden="1">'на 01.08.2016'!$A$7:$K$139</definedName>
    <definedName name="Z_DCC1B134_1BA2_418E_B1D0_0938D8743370_.wvu.FilterData" localSheetId="0" hidden="1">'на 01.08.2016'!$A$7:$K$139</definedName>
    <definedName name="Z_DDA68DE5_EF86_4A52_97CD_589088C5FE7A_.wvu.FilterData" localSheetId="0" hidden="1">'на 01.08.2016'!$A$7:$K$139</definedName>
    <definedName name="Z_DE210091_3D77_4964_B6B2_443A728CBE9E_.wvu.FilterData" localSheetId="0" hidden="1">'на 01.08.2016'!$A$7:$P$397</definedName>
    <definedName name="Z_DE2C3999_6F3E_4D24_86CF_8803BF5FAA48_.wvu.FilterData" localSheetId="0" hidden="1">'на 01.08.2016'!$A$7:$P$60</definedName>
    <definedName name="Z_DEA6EDB2_F27D_4C8F_B061_FD80BEC5543F_.wvu.FilterData" localSheetId="0" hidden="1">'на 01.08.2016'!$A$7:$K$139</definedName>
    <definedName name="Z_DECE3245_1BE4_4A3F_B644_E8DE80612C1E_.wvu.FilterData" localSheetId="0" hidden="1">'на 01.08.2016'!$A$7:$P$397</definedName>
    <definedName name="Z_DF6B7D46_D8DB_447A_83A4_53EE18358CF2_.wvu.FilterData" localSheetId="0" hidden="1">'на 01.08.2016'!$A$7:$P$397</definedName>
    <definedName name="Z_DFB08918_D5A4_4224_AEA5_63620C0D53DD_.wvu.FilterData" localSheetId="0" hidden="1">'на 01.08.2016'!$A$7:$P$397</definedName>
    <definedName name="Z_E0B34E03_0754_4713_9A98_5ACEE69C9E71_.wvu.FilterData" localSheetId="0" hidden="1">'на 01.08.2016'!$A$7:$K$139</definedName>
    <definedName name="Z_E1E7843B_3EC3_4FFF_9B1C_53E7DE6A4004_.wvu.FilterData" localSheetId="0" hidden="1">'на 01.08.2016'!$A$7:$K$139</definedName>
    <definedName name="Z_E25FE844_1AD8_4E16_B2DB_9033A702F13A_.wvu.FilterData" localSheetId="0" hidden="1">'на 01.08.2016'!$A$7:$K$139</definedName>
    <definedName name="Z_E2861A4E_263A_4BE6_9223_2DA352B0AD2D_.wvu.FilterData" localSheetId="0" hidden="1">'на 01.08.2016'!$A$7:$K$139</definedName>
    <definedName name="Z_E2FB76DF_1C94_4620_8087_FEE12FDAA3D2_.wvu.FilterData" localSheetId="0" hidden="1">'на 01.08.2016'!$A$7:$K$139</definedName>
    <definedName name="Z_E3C6ECC1_0F12_435D_9B36_B23F6133337F_.wvu.FilterData" localSheetId="0" hidden="1">'на 01.08.2016'!$A$7:$K$139</definedName>
    <definedName name="Z_E437F2F2_3B79_49F0_9901_D31498A163D7_.wvu.FilterData" localSheetId="0" hidden="1">'на 01.08.2016'!$A$7:$P$397</definedName>
    <definedName name="Z_E5EC7523_F88D_4AD4_9A8D_84C16AB7BFC1_.wvu.FilterData" localSheetId="0" hidden="1">'на 01.08.2016'!$A$7:$P$397</definedName>
    <definedName name="Z_E85A9955_A3DD_46D7_A4A3_9B67A0E2B00C_.wvu.FilterData" localSheetId="0" hidden="1">'на 01.08.2016'!$A$7:$P$397</definedName>
    <definedName name="Z_E88E1D11_18C0_4724_9D4F_2C85DDF57564_.wvu.FilterData" localSheetId="0" hidden="1">'на 01.08.2016'!$A$7:$K$139</definedName>
    <definedName name="Z_EA234825_5817_4C50_AC45_83D70F061045_.wvu.FilterData" localSheetId="0" hidden="1">'на 01.08.2016'!$A$7:$P$397</definedName>
    <definedName name="Z_EA769D6D_3269_481D_9974_BC10C6C55FF6_.wvu.FilterData" localSheetId="0" hidden="1">'на 01.08.2016'!$A$7:$K$139</definedName>
    <definedName name="Z_EB2D8BE6_72BC_4D23_BEC7_DBF109493B0C_.wvu.FilterData" localSheetId="0" hidden="1">'на 01.08.2016'!$A$7:$P$397</definedName>
    <definedName name="Z_EB2D8BE6_72BC_4D23_BEC7_DBF109493B0C_.wvu.FilterData" localSheetId="1" hidden="1">перечень!$A$3:$D$30</definedName>
    <definedName name="Z_EBCDBD63_50FE_4D52_B280_2A723FA77236_.wvu.FilterData" localSheetId="0" hidden="1">'на 01.08.2016'!$A$7:$K$139</definedName>
    <definedName name="Z_EC6B58CC_C695_4EAF_B026_DA7CE6279D7A_.wvu.FilterData" localSheetId="0" hidden="1">'на 01.08.2016'!$A$7:$P$397</definedName>
    <definedName name="Z_EC741CE0_C720_481D_9CFE_596247B0CF36_.wvu.FilterData" localSheetId="0" hidden="1">'на 01.08.2016'!$A$7:$P$397</definedName>
    <definedName name="Z_ED74FBD3_DF35_4798_8C2A_7ADA46D140AA_.wvu.FilterData" localSheetId="0" hidden="1">'на 01.08.2016'!$A$7:$K$139</definedName>
    <definedName name="Z_EF1610FE_843B_4864_9DAD_05F697DD47DC_.wvu.FilterData" localSheetId="0" hidden="1">'на 01.08.2016'!$A$7:$P$397</definedName>
    <definedName name="Z_EFFADE78_6F23_4B5D_AE74_3E82BA29B398_.wvu.FilterData" localSheetId="0" hidden="1">'на 01.08.2016'!$A$7:$K$139</definedName>
    <definedName name="Z_F140A98E_30AA_4FD0_8B93_08F8951EDE5E_.wvu.FilterData" localSheetId="0" hidden="1">'на 01.08.2016'!$A$7:$K$139</definedName>
    <definedName name="Z_F2110B0B_AAE7_42F0_B553_C360E9249AD4_.wvu.Cols" localSheetId="0" hidden="1">'на 01.08.2016'!$C:$E,'на 01.08.2016'!$M:$N,'на 01.08.2016'!$Q:$BT</definedName>
    <definedName name="Z_F2110B0B_AAE7_42F0_B553_C360E9249AD4_.wvu.FilterData" localSheetId="0" hidden="1">'на 01.08.2016'!$A$7:$P$397</definedName>
    <definedName name="Z_F2110B0B_AAE7_42F0_B553_C360E9249AD4_.wvu.FilterData" localSheetId="1" hidden="1">перечень!$A$3:$D$30</definedName>
    <definedName name="Z_F2110B0B_AAE7_42F0_B553_C360E9249AD4_.wvu.PrintArea" localSheetId="0" hidden="1">'на 01.08.2016'!$A$1:$BT$190</definedName>
    <definedName name="Z_F2110B0B_AAE7_42F0_B553_C360E9249AD4_.wvu.PrintArea" localSheetId="1" hidden="1">перечень!$A$1:$J$34</definedName>
    <definedName name="Z_F2110B0B_AAE7_42F0_B553_C360E9249AD4_.wvu.PrintTitles" localSheetId="0" hidden="1">'на 01.08.2016'!$5:$7</definedName>
    <definedName name="Z_F2110B0B_AAE7_42F0_B553_C360E9249AD4_.wvu.PrintTitles" localSheetId="1" hidden="1">перечень!$3:$3</definedName>
    <definedName name="Z_F30FADD4_07E9_4B4F_B53A_86E542EF0570_.wvu.FilterData" localSheetId="0" hidden="1">'на 01.08.2016'!$A$7:$P$397</definedName>
    <definedName name="Z_F34EC6B1_390D_4B75_852C_F8775ACC3B29_.wvu.FilterData" localSheetId="0" hidden="1">'на 01.08.2016'!$A$7:$P$397</definedName>
    <definedName name="Z_F3E148B1_ED1B_4330_84E7_EFC4722C807A_.wvu.FilterData" localSheetId="0" hidden="1">'на 01.08.2016'!$A$7:$P$397</definedName>
    <definedName name="Z_F8CD48ED_A67F_492E_A417_09D352E93E12_.wvu.FilterData" localSheetId="0" hidden="1">'на 01.08.2016'!$A$7:$K$139</definedName>
    <definedName name="Z_F8E4304E_2CC4_4F73_A08A_BA6FE8EB77EF_.wvu.FilterData" localSheetId="0" hidden="1">'на 01.08.2016'!$A$7:$P$397</definedName>
    <definedName name="Z_F9F96D65_7E5D_4EDB_B47B_CD800EE8793F_.wvu.FilterData" localSheetId="0" hidden="1">'на 01.08.2016'!$A$7:$K$139</definedName>
    <definedName name="Z_FA263ADC_F7F9_4F21_8D0A_B162CFE58321_.wvu.FilterData" localSheetId="0" hidden="1">'на 01.08.2016'!$A$7:$P$397</definedName>
    <definedName name="Z_FA47CA05_CCF1_4EDC_AAF6_26967695B1D8_.wvu.FilterData" localSheetId="0" hidden="1">'на 01.08.2016'!$A$7:$P$397</definedName>
    <definedName name="Z_FAEA1540_FB92_4A7F_8E18_381E2C6FAF74_.wvu.FilterData" localSheetId="0" hidden="1">'на 01.08.2016'!$A$7:$K$139</definedName>
    <definedName name="Z_FBEEEF36_B47B_4551_8D8A_904E9E1222D4_.wvu.FilterData" localSheetId="0" hidden="1">'на 01.08.2016'!$A$7:$K$139</definedName>
    <definedName name="Z_FD0E1B66_1ED2_4768_AEAA_4813773FCD1B_.wvu.FilterData" localSheetId="0" hidden="1">'на 01.08.2016'!$A$7:$K$139</definedName>
    <definedName name="Z_FD5CEF9A_4499_4018_A32D_B5C5AF11D935_.wvu.FilterData" localSheetId="0" hidden="1">'на 01.08.2016'!$A$7:$P$397</definedName>
    <definedName name="Z_FEE18FC2_E5D2_4C59_B7D0_FDF82F2008D4_.wvu.FilterData" localSheetId="0" hidden="1">'на 01.08.2016'!$A$7:$P$397</definedName>
    <definedName name="Z_FF7CC20D_CA9E_46D2_A113_9EB09E8A7DF6_.wvu.FilterData" localSheetId="0" hidden="1">'на 01.08.2016'!$A$7:$K$139</definedName>
    <definedName name="Z_FF9EFDBE_F5FD_432E_96BA_C22D4E9B91D4_.wvu.FilterData" localSheetId="0" hidden="1">'на 01.08.2016'!$A$7:$P$397</definedName>
    <definedName name="_xlnm.Print_Titles" localSheetId="0">'на 01.08.2016'!$5:$8</definedName>
    <definedName name="_xlnm.Print_Titles" localSheetId="1">перечень!$3:$3</definedName>
    <definedName name="_xlnm.Print_Area" localSheetId="0">'на 01.08.2016'!$A$1:$P$196</definedName>
    <definedName name="_xlnm.Print_Area" localSheetId="1">перечень!$A$1:$J$34</definedName>
  </definedNames>
  <calcPr calcId="145621" fullPrecision="0"/>
  <customWorkbookViews>
    <customWorkbookView name="Вершинина Мария Игоревна - Личное представление" guid="{A0A3CD9B-2436-40D7-91DB-589A95FBBF00}" mergeInterval="0" personalView="1" maximized="1" windowWidth="1276" windowHeight="779" tabRatio="518" activeSheetId="1"/>
    <customWorkbookView name="Шулепова Ольга Анатольевна - Личное представление" guid="{67ADFAE6-A9AF-44D7-8539-93CD0F6B7849}" mergeInterval="0" personalView="1" maximized="1" windowWidth="1276" windowHeight="759" tabRatio="518" activeSheetId="1"/>
    <customWorkbookView name="Рогожина Ольга Сергеевна - Личное представление" guid="{BEA0FDBA-BB07-4C19-8BBD-5E57EE395C09}" mergeInterval="0" personalView="1" maximized="1" windowWidth="1276" windowHeight="735" tabRatio="518" activeSheetId="1"/>
    <customWorkbookView name="kaa - Личное представление" guid="{7B245AB0-C2AF-4822-BFC4-2399F85856C1}" mergeInterval="0" personalView="1" maximized="1" xWindow="1" yWindow="1" windowWidth="1280" windowHeight="803"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3"/>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Анастасия Вячеславовна - Личное представление" guid="{F2110B0B-AAE7-42F0-B553-C360E9249AD4}" mergeInterval="0" personalView="1" maximized="1" windowWidth="1276" windowHeight="779"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User - Личное представление" guid="{D20DFCFE-63F9-4265-B37B-4F36C46DF159}" mergeInterval="0" personalView="1" maximized="1" xWindow="-8" yWindow="-8" windowWidth="1296" windowHeight="1000" tabRatio="518" activeSheetId="1"/>
    <customWorkbookView name="kou - Личное представление" guid="{998B8119-4FF3-4A16-838D-539C6AE34D55}" mergeInterval="0" personalView="1" maximized="1" windowWidth="1148" windowHeight="625" tabRatio="518" activeSheetId="1"/>
    <customWorkbookView name="pav - Личное представление" guid="{539CB3DF-9B66-4BE7-9074-8CE0405EB8A6}" mergeInterval="0" personalView="1" maximized="1" xWindow="1" yWindow="1" windowWidth="1276" windowHeight="794" tabRatio="518" activeSheetId="1"/>
    <customWorkbookView name="Минакова Оксана Сергеевна - Личное представление" guid="{45DE1976-7F07-4EB4-8A9C-FB72D060BEFA}" mergeInterval="0" personalView="1" maximized="1" xWindow="-8" yWindow="-8" windowWidth="1296" windowHeight="1000"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2"/>
    <customWorkbookView name="Залецкая Ольга Геннадьевна - Личное представление" guid="{D95852A1-B0FC-4AC5-B62B-5CCBE05B0D15}" mergeInterval="0" personalView="1" maximized="1" windowWidth="1276" windowHeight="779" tabRatio="518" activeSheetId="1"/>
  </customWorkbookViews>
  <fileRecoveryPr autoRecover="0"/>
</workbook>
</file>

<file path=xl/calcChain.xml><?xml version="1.0" encoding="utf-8"?>
<calcChain xmlns="http://schemas.openxmlformats.org/spreadsheetml/2006/main">
  <c r="O150" i="1" l="1"/>
  <c r="O151" i="1"/>
  <c r="O152" i="1"/>
  <c r="O149" i="1"/>
  <c r="O147" i="1"/>
  <c r="L169" i="1" l="1"/>
  <c r="L168" i="1"/>
  <c r="L24" i="1" l="1"/>
  <c r="O19" i="1" l="1"/>
  <c r="K19" i="1"/>
  <c r="I19" i="1"/>
  <c r="L143" i="1" l="1"/>
  <c r="L50" i="1" l="1"/>
  <c r="O50" i="1" s="1"/>
  <c r="O43" i="1"/>
  <c r="O46" i="1"/>
  <c r="L25" i="1"/>
  <c r="O25" i="1" s="1"/>
  <c r="L183" i="1"/>
  <c r="O53" i="1"/>
  <c r="H175" i="1" l="1"/>
  <c r="L182" i="1" l="1"/>
  <c r="H183" i="1"/>
  <c r="H170" i="1"/>
  <c r="O37" i="1"/>
  <c r="K37" i="1"/>
  <c r="L38" i="1"/>
  <c r="O38" i="1" s="1"/>
  <c r="I33" i="1" l="1"/>
  <c r="K33" i="1"/>
  <c r="I149" i="1"/>
  <c r="O113" i="1"/>
  <c r="L32" i="1"/>
  <c r="O32" i="1" s="1"/>
  <c r="L31" i="1"/>
  <c r="O168" i="1"/>
  <c r="O170" i="1"/>
  <c r="O33" i="1"/>
  <c r="L48" i="1"/>
  <c r="H50" i="1"/>
  <c r="L175" i="1" l="1"/>
  <c r="F176" i="1"/>
  <c r="L56" i="1"/>
  <c r="J169" i="1" l="1"/>
  <c r="G169" i="1"/>
  <c r="F169" i="1"/>
  <c r="J152" i="1"/>
  <c r="G152" i="1"/>
  <c r="F152" i="1"/>
  <c r="J166" i="1" l="1"/>
  <c r="H169" i="1"/>
  <c r="H113" i="1"/>
  <c r="L98" i="1" l="1"/>
  <c r="H77" i="1" l="1"/>
  <c r="I77" i="1" s="1"/>
  <c r="O66" i="1" l="1"/>
  <c r="L73" i="1" l="1"/>
  <c r="L74" i="1"/>
  <c r="L80" i="1"/>
  <c r="L90" i="1"/>
  <c r="L72" i="1" s="1"/>
  <c r="L89" i="1"/>
  <c r="L71" i="1" s="1"/>
  <c r="L88" i="1"/>
  <c r="L92" i="1"/>
  <c r="O129" i="1"/>
  <c r="L128" i="1"/>
  <c r="O137" i="1"/>
  <c r="O136" i="1"/>
  <c r="O135" i="1"/>
  <c r="O131" i="1"/>
  <c r="O130" i="1"/>
  <c r="O125" i="1"/>
  <c r="O124" i="1"/>
  <c r="O123" i="1"/>
  <c r="O119" i="1"/>
  <c r="O118" i="1"/>
  <c r="O117" i="1"/>
  <c r="O112" i="1"/>
  <c r="O111" i="1"/>
  <c r="O101" i="1"/>
  <c r="O100" i="1"/>
  <c r="O99" i="1"/>
  <c r="O95" i="1"/>
  <c r="O94" i="1"/>
  <c r="O93" i="1"/>
  <c r="O82" i="1"/>
  <c r="O81" i="1"/>
  <c r="O77" i="1"/>
  <c r="O76" i="1"/>
  <c r="O75" i="1"/>
  <c r="O110" i="1" l="1"/>
  <c r="O116" i="1"/>
  <c r="O134" i="1"/>
  <c r="O128" i="1"/>
  <c r="O122" i="1"/>
  <c r="O74" i="1"/>
  <c r="L86" i="1"/>
  <c r="O92" i="1"/>
  <c r="O98" i="1"/>
  <c r="C53" i="1"/>
  <c r="D53" i="1"/>
  <c r="E53" i="1"/>
  <c r="E186" i="3" l="1"/>
  <c r="D186" i="3"/>
  <c r="C186" i="3"/>
  <c r="E185" i="3"/>
  <c r="D185" i="3"/>
  <c r="C185" i="3"/>
  <c r="E184" i="3"/>
  <c r="D184" i="3"/>
  <c r="C184" i="3"/>
  <c r="O181" i="3"/>
  <c r="K181" i="3"/>
  <c r="I181" i="3"/>
  <c r="O180" i="3"/>
  <c r="K180" i="3"/>
  <c r="I180" i="3"/>
  <c r="L179" i="3"/>
  <c r="O179" i="3" s="1"/>
  <c r="K179" i="3"/>
  <c r="I179" i="3"/>
  <c r="L178" i="3"/>
  <c r="O178" i="3" s="1"/>
  <c r="K178" i="3"/>
  <c r="H178" i="3"/>
  <c r="I178" i="3" s="1"/>
  <c r="O177" i="3"/>
  <c r="K177" i="3"/>
  <c r="I177" i="3"/>
  <c r="E177" i="3"/>
  <c r="E176" i="3" s="1"/>
  <c r="D177" i="3"/>
  <c r="C177" i="3"/>
  <c r="C176" i="3" s="1"/>
  <c r="N176" i="3"/>
  <c r="M176" i="3"/>
  <c r="J176" i="3"/>
  <c r="H176" i="3"/>
  <c r="G176" i="3"/>
  <c r="F176" i="3"/>
  <c r="D176" i="3"/>
  <c r="E175" i="3"/>
  <c r="D175" i="3"/>
  <c r="C175" i="3"/>
  <c r="E174" i="3"/>
  <c r="D174" i="3"/>
  <c r="C174" i="3"/>
  <c r="G173" i="3"/>
  <c r="O173" i="3" s="1"/>
  <c r="L172" i="3"/>
  <c r="H172" i="3"/>
  <c r="G172" i="3"/>
  <c r="F172" i="3"/>
  <c r="F169" i="3" s="1"/>
  <c r="L171" i="3"/>
  <c r="G171" i="3"/>
  <c r="O170" i="3"/>
  <c r="E170" i="3"/>
  <c r="E169" i="3" s="1"/>
  <c r="D170" i="3"/>
  <c r="D169" i="3" s="1"/>
  <c r="C170" i="3"/>
  <c r="C169" i="3" s="1"/>
  <c r="N169" i="3"/>
  <c r="M169" i="3"/>
  <c r="L169" i="3"/>
  <c r="J169" i="3"/>
  <c r="E168" i="3"/>
  <c r="D168" i="3"/>
  <c r="C168" i="3"/>
  <c r="O166" i="3"/>
  <c r="K166" i="3"/>
  <c r="I166" i="3"/>
  <c r="O165" i="3"/>
  <c r="K165" i="3"/>
  <c r="I165" i="3"/>
  <c r="E165" i="3"/>
  <c r="D165" i="3"/>
  <c r="C165" i="3"/>
  <c r="O164" i="3"/>
  <c r="K164" i="3"/>
  <c r="I164" i="3"/>
  <c r="N162" i="3"/>
  <c r="M162" i="3"/>
  <c r="L162" i="3"/>
  <c r="J162" i="3"/>
  <c r="H162" i="3"/>
  <c r="G162" i="3"/>
  <c r="F162" i="3"/>
  <c r="D162" i="3"/>
  <c r="C162" i="3"/>
  <c r="O148" i="3"/>
  <c r="K148" i="3"/>
  <c r="I148" i="3"/>
  <c r="O147" i="3"/>
  <c r="K147" i="3"/>
  <c r="I147" i="3"/>
  <c r="L146" i="3"/>
  <c r="O146" i="3" s="1"/>
  <c r="K146" i="3"/>
  <c r="I146" i="3"/>
  <c r="O145" i="3"/>
  <c r="K145" i="3"/>
  <c r="I145" i="3"/>
  <c r="N144" i="3"/>
  <c r="M144" i="3"/>
  <c r="L144" i="3"/>
  <c r="J144" i="3"/>
  <c r="H144" i="3"/>
  <c r="G144" i="3"/>
  <c r="F144" i="3"/>
  <c r="O143" i="3"/>
  <c r="K143" i="3"/>
  <c r="H143" i="3"/>
  <c r="I143" i="3" s="1"/>
  <c r="O142" i="3"/>
  <c r="H141" i="3"/>
  <c r="G141" i="3"/>
  <c r="O141" i="3" s="1"/>
  <c r="F141" i="3"/>
  <c r="L140" i="3"/>
  <c r="O140" i="3" s="1"/>
  <c r="J140" i="3"/>
  <c r="K140" i="3" s="1"/>
  <c r="H140" i="3"/>
  <c r="I140" i="3" s="1"/>
  <c r="O139" i="3"/>
  <c r="F138" i="3"/>
  <c r="E138" i="3"/>
  <c r="D138" i="3"/>
  <c r="C138" i="3"/>
  <c r="M133" i="3"/>
  <c r="M132" i="3" s="1"/>
  <c r="K133" i="3"/>
  <c r="I133" i="3"/>
  <c r="J132" i="3"/>
  <c r="H132" i="3"/>
  <c r="G132" i="3"/>
  <c r="F132" i="3"/>
  <c r="M128" i="3"/>
  <c r="N128" i="3" s="1"/>
  <c r="K128" i="3"/>
  <c r="H128" i="3"/>
  <c r="I128" i="3" s="1"/>
  <c r="M127" i="3"/>
  <c r="O127" i="3" s="1"/>
  <c r="K127" i="3"/>
  <c r="H127" i="3"/>
  <c r="I127" i="3" s="1"/>
  <c r="J126" i="3"/>
  <c r="G126" i="3"/>
  <c r="F126" i="3"/>
  <c r="O121" i="3"/>
  <c r="M121" i="3"/>
  <c r="N121" i="3" s="1"/>
  <c r="K121" i="3"/>
  <c r="I121" i="3"/>
  <c r="O120" i="3"/>
  <c r="M120" i="3"/>
  <c r="L120" i="3"/>
  <c r="J120" i="3"/>
  <c r="H120" i="3"/>
  <c r="G120" i="3"/>
  <c r="N120" i="3" s="1"/>
  <c r="F120" i="3"/>
  <c r="Q119" i="3"/>
  <c r="P119" i="3"/>
  <c r="Q118" i="3"/>
  <c r="P118" i="3"/>
  <c r="Q117" i="3"/>
  <c r="P117" i="3"/>
  <c r="Q116" i="3"/>
  <c r="O116" i="3"/>
  <c r="M116" i="3"/>
  <c r="N116" i="3" s="1"/>
  <c r="K116" i="3"/>
  <c r="I116" i="3"/>
  <c r="Q115" i="3"/>
  <c r="P115" i="3"/>
  <c r="L114" i="3"/>
  <c r="J114" i="3"/>
  <c r="H114" i="3"/>
  <c r="G114" i="3"/>
  <c r="F114" i="3"/>
  <c r="N113" i="3"/>
  <c r="N112" i="3"/>
  <c r="O111" i="3"/>
  <c r="M111" i="3"/>
  <c r="N111" i="3" s="1"/>
  <c r="K111" i="3"/>
  <c r="I111" i="3"/>
  <c r="O110" i="3"/>
  <c r="M110" i="3"/>
  <c r="N110" i="3" s="1"/>
  <c r="K110" i="3"/>
  <c r="I110" i="3"/>
  <c r="O109" i="3"/>
  <c r="M109" i="3"/>
  <c r="N109" i="3" s="1"/>
  <c r="N108" i="3" s="1"/>
  <c r="K109" i="3"/>
  <c r="I109" i="3"/>
  <c r="O108" i="3"/>
  <c r="L108" i="3"/>
  <c r="J108" i="3"/>
  <c r="H108" i="3"/>
  <c r="G108" i="3"/>
  <c r="F108" i="3"/>
  <c r="H107" i="3"/>
  <c r="G107" i="3"/>
  <c r="F107" i="3"/>
  <c r="H106" i="3"/>
  <c r="G106" i="3"/>
  <c r="F106" i="3"/>
  <c r="L105" i="3"/>
  <c r="J105" i="3"/>
  <c r="H105" i="3"/>
  <c r="G105" i="3"/>
  <c r="F105" i="3"/>
  <c r="L104" i="3"/>
  <c r="J104" i="3"/>
  <c r="G104" i="3"/>
  <c r="F104" i="3"/>
  <c r="L103" i="3"/>
  <c r="J103" i="3"/>
  <c r="J61" i="3" s="1"/>
  <c r="J10" i="3" s="1"/>
  <c r="H103" i="3"/>
  <c r="G103" i="3"/>
  <c r="F103" i="3"/>
  <c r="M99" i="3"/>
  <c r="O99" i="3" s="1"/>
  <c r="K99" i="3"/>
  <c r="H99" i="3"/>
  <c r="I99" i="3" s="1"/>
  <c r="M98" i="3"/>
  <c r="O98" i="3" s="1"/>
  <c r="K98" i="3"/>
  <c r="H98" i="3"/>
  <c r="I98" i="3" s="1"/>
  <c r="J96" i="3"/>
  <c r="G96" i="3"/>
  <c r="F96" i="3"/>
  <c r="M94" i="3"/>
  <c r="O94" i="3" s="1"/>
  <c r="K94" i="3"/>
  <c r="I94" i="3"/>
  <c r="M93" i="3"/>
  <c r="O93" i="3" s="1"/>
  <c r="K93" i="3"/>
  <c r="H93" i="3"/>
  <c r="I93" i="3" s="1"/>
  <c r="M92" i="3"/>
  <c r="O92" i="3" s="1"/>
  <c r="J92" i="3"/>
  <c r="J90" i="3" s="1"/>
  <c r="I92" i="3"/>
  <c r="H90" i="3"/>
  <c r="G90" i="3"/>
  <c r="F90" i="3"/>
  <c r="H89" i="3"/>
  <c r="H71" i="3" s="1"/>
  <c r="G89" i="3"/>
  <c r="G71" i="3" s="1"/>
  <c r="F89" i="3"/>
  <c r="F71" i="3" s="1"/>
  <c r="J88" i="3"/>
  <c r="J70" i="3" s="1"/>
  <c r="H88" i="3"/>
  <c r="G88" i="3"/>
  <c r="G70" i="3" s="1"/>
  <c r="F88" i="3"/>
  <c r="F70" i="3" s="1"/>
  <c r="J87" i="3"/>
  <c r="G87" i="3"/>
  <c r="F87" i="3"/>
  <c r="F69" i="3" s="1"/>
  <c r="H86" i="3"/>
  <c r="G86" i="3"/>
  <c r="G68" i="3" s="1"/>
  <c r="F86" i="3"/>
  <c r="F68" i="3" s="1"/>
  <c r="H85" i="3"/>
  <c r="G85" i="3"/>
  <c r="G67" i="3" s="1"/>
  <c r="G61" i="3" s="1"/>
  <c r="G10" i="3" s="1"/>
  <c r="F85" i="3"/>
  <c r="F67" i="3" s="1"/>
  <c r="J81" i="3"/>
  <c r="G81" i="3"/>
  <c r="M81" i="3" s="1"/>
  <c r="M80" i="3"/>
  <c r="K80" i="3"/>
  <c r="I80" i="3"/>
  <c r="F78" i="3"/>
  <c r="M75" i="3"/>
  <c r="O75" i="3" s="1"/>
  <c r="K75" i="3"/>
  <c r="I75" i="3"/>
  <c r="M74" i="3"/>
  <c r="O74" i="3" s="1"/>
  <c r="K74" i="3"/>
  <c r="I74" i="3"/>
  <c r="J72" i="3"/>
  <c r="H72" i="3"/>
  <c r="G72" i="3"/>
  <c r="F72" i="3"/>
  <c r="L69" i="3"/>
  <c r="L68" i="3"/>
  <c r="L67" i="3"/>
  <c r="L65" i="3"/>
  <c r="L14" i="3" s="1"/>
  <c r="L64" i="3"/>
  <c r="L13" i="3" s="1"/>
  <c r="E59" i="3"/>
  <c r="D59" i="3"/>
  <c r="C59" i="3"/>
  <c r="E58" i="3"/>
  <c r="D58" i="3"/>
  <c r="C58" i="3"/>
  <c r="O55" i="3"/>
  <c r="K55" i="3"/>
  <c r="I55" i="3"/>
  <c r="L54" i="3"/>
  <c r="O54" i="3" s="1"/>
  <c r="K54" i="3"/>
  <c r="I54" i="3"/>
  <c r="O53" i="3"/>
  <c r="I53" i="3"/>
  <c r="N52" i="3"/>
  <c r="M52" i="3"/>
  <c r="J52" i="3"/>
  <c r="H52" i="3"/>
  <c r="G52" i="3"/>
  <c r="F52" i="3"/>
  <c r="E52" i="3"/>
  <c r="D52" i="3"/>
  <c r="C52" i="3"/>
  <c r="O51" i="3"/>
  <c r="E51" i="3"/>
  <c r="D51" i="3"/>
  <c r="D46" i="3" s="1"/>
  <c r="C51" i="3"/>
  <c r="C46" i="3" s="1"/>
  <c r="O50" i="3"/>
  <c r="O49" i="3"/>
  <c r="L48" i="3"/>
  <c r="O48" i="3" s="1"/>
  <c r="K48" i="3"/>
  <c r="H48" i="3"/>
  <c r="I48" i="3" s="1"/>
  <c r="O47" i="3"/>
  <c r="J46" i="3"/>
  <c r="G46" i="3"/>
  <c r="F46" i="3"/>
  <c r="E46" i="3"/>
  <c r="L43" i="3"/>
  <c r="L42" i="3"/>
  <c r="G42" i="3"/>
  <c r="G40" i="3" s="1"/>
  <c r="F42" i="3"/>
  <c r="F40" i="3" s="1"/>
  <c r="E41" i="3"/>
  <c r="E40" i="3" s="1"/>
  <c r="D41" i="3"/>
  <c r="D40" i="3" s="1"/>
  <c r="C41" i="3"/>
  <c r="C40" i="3" s="1"/>
  <c r="E39" i="3"/>
  <c r="D39" i="3"/>
  <c r="C39" i="3"/>
  <c r="E38" i="3"/>
  <c r="D38" i="3"/>
  <c r="C38" i="3"/>
  <c r="L37" i="3"/>
  <c r="K37" i="3"/>
  <c r="I37" i="3"/>
  <c r="L36" i="3"/>
  <c r="K36" i="3"/>
  <c r="I36" i="3"/>
  <c r="K35" i="3"/>
  <c r="I35" i="3"/>
  <c r="E35" i="3"/>
  <c r="E34" i="3" s="1"/>
  <c r="D35" i="3"/>
  <c r="D34" i="3" s="1"/>
  <c r="C35" i="3"/>
  <c r="C34" i="3" s="1"/>
  <c r="O34" i="3"/>
  <c r="N34" i="3"/>
  <c r="M34" i="3"/>
  <c r="J34" i="3"/>
  <c r="H34" i="3"/>
  <c r="G34" i="3"/>
  <c r="F34" i="3"/>
  <c r="E33" i="3"/>
  <c r="D33" i="3"/>
  <c r="C33" i="3"/>
  <c r="E32" i="3"/>
  <c r="D32" i="3"/>
  <c r="C32" i="3"/>
  <c r="L30" i="3"/>
  <c r="O30" i="3" s="1"/>
  <c r="K30" i="3"/>
  <c r="I30" i="3"/>
  <c r="L29" i="3"/>
  <c r="O29" i="3" s="1"/>
  <c r="K29" i="3"/>
  <c r="I29" i="3"/>
  <c r="E28" i="3"/>
  <c r="D28" i="3"/>
  <c r="D27" i="3" s="1"/>
  <c r="C28" i="3"/>
  <c r="C27" i="3" s="1"/>
  <c r="N27" i="3"/>
  <c r="M27" i="3"/>
  <c r="J27" i="3"/>
  <c r="H27" i="3"/>
  <c r="G27" i="3"/>
  <c r="F27" i="3"/>
  <c r="E27" i="3"/>
  <c r="E25" i="3"/>
  <c r="D25" i="3"/>
  <c r="C25" i="3"/>
  <c r="K24" i="3"/>
  <c r="I24" i="3"/>
  <c r="E24" i="3"/>
  <c r="E21" i="3" s="1"/>
  <c r="D24" i="3"/>
  <c r="D21" i="3" s="1"/>
  <c r="C24" i="3"/>
  <c r="C21" i="3" s="1"/>
  <c r="L23" i="3"/>
  <c r="O23" i="3" s="1"/>
  <c r="O21" i="3" s="1"/>
  <c r="K23" i="3"/>
  <c r="I23" i="3"/>
  <c r="N21" i="3"/>
  <c r="M21" i="3"/>
  <c r="J21" i="3"/>
  <c r="H21" i="3"/>
  <c r="G21" i="3"/>
  <c r="F21" i="3"/>
  <c r="E20" i="3"/>
  <c r="E15" i="3" s="1"/>
  <c r="D20" i="3"/>
  <c r="D15" i="3" s="1"/>
  <c r="C20" i="3"/>
  <c r="C15" i="3" s="1"/>
  <c r="O17" i="3"/>
  <c r="O15" i="3" s="1"/>
  <c r="K17" i="3"/>
  <c r="I17" i="3"/>
  <c r="N15" i="3"/>
  <c r="M15" i="3"/>
  <c r="L15" i="3"/>
  <c r="J15" i="3"/>
  <c r="H15" i="3"/>
  <c r="G15" i="3"/>
  <c r="F15" i="3"/>
  <c r="N14" i="3"/>
  <c r="M14" i="3"/>
  <c r="J14" i="3"/>
  <c r="E14" i="3"/>
  <c r="D14" i="3"/>
  <c r="C14" i="3"/>
  <c r="E13" i="3"/>
  <c r="D13" i="3"/>
  <c r="C13" i="3"/>
  <c r="E12" i="3"/>
  <c r="D12" i="3"/>
  <c r="C12" i="3"/>
  <c r="E10" i="3"/>
  <c r="D10" i="3"/>
  <c r="C10" i="3"/>
  <c r="M105" i="3" l="1"/>
  <c r="N105" i="3" s="1"/>
  <c r="H87" i="3"/>
  <c r="M108" i="3"/>
  <c r="L138" i="3"/>
  <c r="E11" i="3"/>
  <c r="J69" i="3"/>
  <c r="L21" i="3"/>
  <c r="F65" i="3"/>
  <c r="F14" i="3" s="1"/>
  <c r="G138" i="3"/>
  <c r="O172" i="3"/>
  <c r="L27" i="3"/>
  <c r="J63" i="3"/>
  <c r="J12" i="3" s="1"/>
  <c r="G64" i="3"/>
  <c r="O171" i="3"/>
  <c r="I172" i="3"/>
  <c r="J138" i="3"/>
  <c r="L61" i="3"/>
  <c r="H65" i="3"/>
  <c r="H14" i="3" s="1"/>
  <c r="O14" i="3"/>
  <c r="L62" i="3"/>
  <c r="L11" i="3" s="1"/>
  <c r="C11" i="3"/>
  <c r="C9" i="3" s="1"/>
  <c r="L63" i="3"/>
  <c r="L12" i="3" s="1"/>
  <c r="F61" i="3"/>
  <c r="F10" i="3" s="1"/>
  <c r="M86" i="3"/>
  <c r="O86" i="3" s="1"/>
  <c r="G13" i="3"/>
  <c r="G65" i="3"/>
  <c r="G14" i="3" s="1"/>
  <c r="K14" i="3" s="1"/>
  <c r="H104" i="3"/>
  <c r="I104" i="3" s="1"/>
  <c r="L34" i="3"/>
  <c r="H46" i="3"/>
  <c r="L52" i="3"/>
  <c r="L40" i="3"/>
  <c r="J78" i="3"/>
  <c r="H84" i="3"/>
  <c r="J86" i="3"/>
  <c r="J84" i="3" s="1"/>
  <c r="N75" i="3"/>
  <c r="G62" i="3"/>
  <c r="G11" i="3" s="1"/>
  <c r="F63" i="3"/>
  <c r="F12" i="3" s="1"/>
  <c r="F102" i="3"/>
  <c r="H102" i="3"/>
  <c r="K96" i="3"/>
  <c r="N132" i="3"/>
  <c r="I87" i="3"/>
  <c r="I88" i="3"/>
  <c r="K92" i="3"/>
  <c r="N92" i="3"/>
  <c r="N99" i="3"/>
  <c r="I34" i="3"/>
  <c r="L102" i="3"/>
  <c r="K132" i="3"/>
  <c r="K34" i="3"/>
  <c r="F62" i="3"/>
  <c r="F11" i="3" s="1"/>
  <c r="I114" i="3"/>
  <c r="F66" i="3"/>
  <c r="L46" i="3"/>
  <c r="K52" i="3"/>
  <c r="L66" i="3"/>
  <c r="H81" i="3"/>
  <c r="I90" i="3"/>
  <c r="K114" i="3"/>
  <c r="H126" i="3"/>
  <c r="I126" i="3" s="1"/>
  <c r="I141" i="3"/>
  <c r="I162" i="3"/>
  <c r="G169" i="3"/>
  <c r="O169" i="3" s="1"/>
  <c r="D11" i="3"/>
  <c r="D9" i="3" s="1"/>
  <c r="K46" i="3"/>
  <c r="G69" i="3"/>
  <c r="G66" i="3" s="1"/>
  <c r="G78" i="3"/>
  <c r="L176" i="3"/>
  <c r="O52" i="3"/>
  <c r="E9" i="3"/>
  <c r="H70" i="3"/>
  <c r="M103" i="3"/>
  <c r="M61" i="3" s="1"/>
  <c r="M10" i="3" s="1"/>
  <c r="K104" i="3"/>
  <c r="O138" i="3"/>
  <c r="L10" i="3"/>
  <c r="K70" i="3"/>
  <c r="J64" i="3"/>
  <c r="I15" i="3"/>
  <c r="K21" i="3"/>
  <c r="I27" i="3"/>
  <c r="I46" i="3"/>
  <c r="I52" i="3"/>
  <c r="F64" i="3"/>
  <c r="F13" i="3" s="1"/>
  <c r="M68" i="3"/>
  <c r="K72" i="3"/>
  <c r="F84" i="3"/>
  <c r="K86" i="3"/>
  <c r="M87" i="3"/>
  <c r="M69" i="3" s="1"/>
  <c r="M90" i="3"/>
  <c r="O90" i="3" s="1"/>
  <c r="K103" i="3"/>
  <c r="M104" i="3"/>
  <c r="O104" i="3" s="1"/>
  <c r="K105" i="3"/>
  <c r="K108" i="3"/>
  <c r="K120" i="3"/>
  <c r="M126" i="3"/>
  <c r="O126" i="3" s="1"/>
  <c r="K138" i="3"/>
  <c r="K144" i="3"/>
  <c r="K15" i="3"/>
  <c r="I21" i="3"/>
  <c r="K27" i="3"/>
  <c r="H67" i="3"/>
  <c r="H68" i="3"/>
  <c r="I72" i="3"/>
  <c r="G84" i="3"/>
  <c r="N98" i="3"/>
  <c r="J102" i="3"/>
  <c r="I132" i="3"/>
  <c r="O132" i="3"/>
  <c r="O144" i="3"/>
  <c r="K162" i="3"/>
  <c r="H169" i="3"/>
  <c r="O105" i="3"/>
  <c r="H69" i="3"/>
  <c r="M72" i="3"/>
  <c r="O72" i="3" s="1"/>
  <c r="K87" i="3"/>
  <c r="K88" i="3"/>
  <c r="M88" i="3"/>
  <c r="K90" i="3"/>
  <c r="N93" i="3"/>
  <c r="G102" i="3"/>
  <c r="I103" i="3"/>
  <c r="I105" i="3"/>
  <c r="I108" i="3"/>
  <c r="O114" i="3"/>
  <c r="M114" i="3"/>
  <c r="N114" i="3" s="1"/>
  <c r="K126" i="3"/>
  <c r="H138" i="3"/>
  <c r="I138" i="3" s="1"/>
  <c r="I144" i="3"/>
  <c r="O162" i="3"/>
  <c r="M78" i="3"/>
  <c r="O176" i="3"/>
  <c r="O81" i="3"/>
  <c r="O27" i="3"/>
  <c r="K61" i="3"/>
  <c r="N80" i="3"/>
  <c r="N81" i="3"/>
  <c r="N94" i="3"/>
  <c r="H96" i="3"/>
  <c r="I96" i="3" s="1"/>
  <c r="M96" i="3"/>
  <c r="O96" i="3" s="1"/>
  <c r="I120" i="3"/>
  <c r="O128" i="3"/>
  <c r="I171" i="3"/>
  <c r="K172" i="3"/>
  <c r="K10" i="3"/>
  <c r="N74" i="3"/>
  <c r="O80" i="3"/>
  <c r="I86" i="3"/>
  <c r="N86" i="3"/>
  <c r="N127" i="3"/>
  <c r="N133" i="3"/>
  <c r="K141" i="3"/>
  <c r="K171" i="3"/>
  <c r="K81" i="3"/>
  <c r="Q114" i="3"/>
  <c r="O133" i="3"/>
  <c r="K78" i="3" l="1"/>
  <c r="O61" i="3"/>
  <c r="O10" i="3" s="1"/>
  <c r="I102" i="3"/>
  <c r="K84" i="3"/>
  <c r="J68" i="3"/>
  <c r="K68" i="3" s="1"/>
  <c r="I14" i="3"/>
  <c r="L60" i="3"/>
  <c r="K169" i="3"/>
  <c r="M102" i="3"/>
  <c r="O102" i="3" s="1"/>
  <c r="O103" i="3"/>
  <c r="K69" i="3"/>
  <c r="F9" i="3"/>
  <c r="F60" i="3"/>
  <c r="N126" i="3"/>
  <c r="J62" i="3"/>
  <c r="K62" i="3" s="1"/>
  <c r="N72" i="3"/>
  <c r="J66" i="3"/>
  <c r="K66" i="3" s="1"/>
  <c r="N103" i="3"/>
  <c r="N61" i="3" s="1"/>
  <c r="N10" i="3" s="1"/>
  <c r="N96" i="3"/>
  <c r="I169" i="3"/>
  <c r="G63" i="3"/>
  <c r="G60" i="3" s="1"/>
  <c r="I70" i="3"/>
  <c r="H64" i="3"/>
  <c r="L9" i="3"/>
  <c r="I81" i="3"/>
  <c r="H78" i="3"/>
  <c r="I78" i="3" s="1"/>
  <c r="Q9" i="3"/>
  <c r="K102" i="3"/>
  <c r="N104" i="3"/>
  <c r="N87" i="3"/>
  <c r="N69" i="3" s="1"/>
  <c r="N63" i="3" s="1"/>
  <c r="N12" i="3" s="1"/>
  <c r="M84" i="3"/>
  <c r="O87" i="3"/>
  <c r="N90" i="3"/>
  <c r="O88" i="3"/>
  <c r="M70" i="3"/>
  <c r="M66" i="3" s="1"/>
  <c r="N88" i="3"/>
  <c r="N70" i="3" s="1"/>
  <c r="N64" i="3" s="1"/>
  <c r="N13" i="3" s="1"/>
  <c r="I68" i="3"/>
  <c r="H62" i="3"/>
  <c r="K64" i="3"/>
  <c r="J13" i="3"/>
  <c r="K13" i="3" s="1"/>
  <c r="I69" i="3"/>
  <c r="H63" i="3"/>
  <c r="H66" i="3"/>
  <c r="I66" i="3" s="1"/>
  <c r="H61" i="3"/>
  <c r="O68" i="3"/>
  <c r="M62" i="3"/>
  <c r="I84" i="3"/>
  <c r="N68" i="3"/>
  <c r="N78" i="3"/>
  <c r="O78" i="3"/>
  <c r="M63" i="3"/>
  <c r="O69" i="3"/>
  <c r="N102" i="3" l="1"/>
  <c r="N62" i="3"/>
  <c r="N60" i="3" s="1"/>
  <c r="J11" i="3"/>
  <c r="K11" i="3" s="1"/>
  <c r="J60" i="3"/>
  <c r="K60" i="3" s="1"/>
  <c r="G12" i="3"/>
  <c r="K63" i="3"/>
  <c r="I64" i="3"/>
  <c r="H13" i="3"/>
  <c r="I13" i="3" s="1"/>
  <c r="I61" i="3"/>
  <c r="H60" i="3"/>
  <c r="I60" i="3" s="1"/>
  <c r="H10" i="3"/>
  <c r="I62" i="3"/>
  <c r="H11" i="3"/>
  <c r="I11" i="3" s="1"/>
  <c r="O62" i="3"/>
  <c r="O11" i="3" s="1"/>
  <c r="M11" i="3"/>
  <c r="I63" i="3"/>
  <c r="H12" i="3"/>
  <c r="I12" i="3" s="1"/>
  <c r="O70" i="3"/>
  <c r="M64" i="3"/>
  <c r="N84" i="3"/>
  <c r="O84" i="3"/>
  <c r="N66" i="3"/>
  <c r="O66" i="3"/>
  <c r="M12" i="3"/>
  <c r="O63" i="3"/>
  <c r="O12" i="3" s="1"/>
  <c r="L67" i="1"/>
  <c r="L66" i="1"/>
  <c r="L70" i="1"/>
  <c r="L69" i="1"/>
  <c r="L107" i="1"/>
  <c r="L106" i="1"/>
  <c r="L105" i="1"/>
  <c r="L122" i="1"/>
  <c r="J9" i="3" l="1"/>
  <c r="N11" i="3"/>
  <c r="N9" i="3" s="1"/>
  <c r="G9" i="3"/>
  <c r="K12" i="3"/>
  <c r="O64" i="3"/>
  <c r="O13" i="3" s="1"/>
  <c r="O9" i="3" s="1"/>
  <c r="M13" i="3"/>
  <c r="M9" i="3" s="1"/>
  <c r="M60" i="3"/>
  <c r="O60" i="3" s="1"/>
  <c r="H9" i="3"/>
  <c r="I10" i="3"/>
  <c r="L104" i="1"/>
  <c r="L64" i="1"/>
  <c r="L65" i="1"/>
  <c r="L63" i="1"/>
  <c r="L68" i="1"/>
  <c r="L150" i="1"/>
  <c r="O56" i="1"/>
  <c r="J80" i="1"/>
  <c r="K9" i="3" l="1"/>
  <c r="I9" i="3"/>
  <c r="L62" i="1"/>
  <c r="K152" i="1"/>
  <c r="I152" i="1"/>
  <c r="G177" i="1" l="1"/>
  <c r="L176" i="1"/>
  <c r="G175" i="1"/>
  <c r="O177" i="1" l="1"/>
  <c r="G176" i="1"/>
  <c r="K176" i="1" s="1"/>
  <c r="L39" i="1"/>
  <c r="O39" i="1" s="1"/>
  <c r="O176" i="1" l="1"/>
  <c r="M180" i="1"/>
  <c r="N180" i="1"/>
  <c r="J180" i="1"/>
  <c r="L180" i="1" l="1"/>
  <c r="G54" i="1"/>
  <c r="N14" i="1" l="1"/>
  <c r="M14" i="1"/>
  <c r="L14" i="1"/>
  <c r="J14" i="1"/>
  <c r="H180" i="1"/>
  <c r="G180" i="1"/>
  <c r="F180" i="1"/>
  <c r="L45" i="1"/>
  <c r="O45" i="1" s="1"/>
  <c r="O143" i="1"/>
  <c r="L42" i="1" l="1"/>
  <c r="F44" i="1"/>
  <c r="G44" i="1"/>
  <c r="O44" i="1" s="1"/>
  <c r="L110" i="1"/>
  <c r="M36" i="1"/>
  <c r="N36" i="1"/>
  <c r="O36" i="1"/>
  <c r="J36" i="1"/>
  <c r="G36" i="1"/>
  <c r="H36" i="1"/>
  <c r="F36" i="1"/>
  <c r="K39" i="1"/>
  <c r="I39" i="1"/>
  <c r="L36" i="1"/>
  <c r="K38" i="1"/>
  <c r="I38" i="1"/>
  <c r="K170" i="1"/>
  <c r="I170" i="1"/>
  <c r="I37" i="1"/>
  <c r="L116" i="1"/>
  <c r="K50" i="1"/>
  <c r="J48" i="1"/>
  <c r="G48" i="1"/>
  <c r="O48" i="1" s="1"/>
  <c r="F48" i="1"/>
  <c r="H176" i="1"/>
  <c r="I176" i="1" s="1"/>
  <c r="I50" i="1"/>
  <c r="O49" i="1"/>
  <c r="O183" i="1"/>
  <c r="O182" i="1"/>
  <c r="I183" i="1"/>
  <c r="I182" i="1"/>
  <c r="K183" i="1"/>
  <c r="K182" i="1"/>
  <c r="O185" i="1"/>
  <c r="O184" i="1"/>
  <c r="O181" i="1"/>
  <c r="O175" i="1"/>
  <c r="O180" i="1" l="1"/>
  <c r="H48" i="1"/>
  <c r="I48" i="1" s="1"/>
  <c r="G42" i="1"/>
  <c r="O42" i="1" s="1"/>
  <c r="F42" i="1"/>
  <c r="I36" i="1"/>
  <c r="K36" i="1"/>
  <c r="K48" i="1"/>
  <c r="M21" i="1" l="1"/>
  <c r="N21" i="1"/>
  <c r="J21" i="1"/>
  <c r="G21" i="1"/>
  <c r="H21" i="1"/>
  <c r="F21" i="1"/>
  <c r="K25" i="1"/>
  <c r="K24" i="1"/>
  <c r="I25" i="1"/>
  <c r="K146" i="1"/>
  <c r="H146" i="1"/>
  <c r="I146" i="1" s="1"/>
  <c r="H144" i="1"/>
  <c r="F140" i="1"/>
  <c r="O146" i="1"/>
  <c r="O14" i="1" s="1"/>
  <c r="O145" i="1"/>
  <c r="O142" i="1"/>
  <c r="J143" i="1"/>
  <c r="L140" i="1"/>
  <c r="L54" i="1"/>
  <c r="I151" i="1"/>
  <c r="I150" i="1"/>
  <c r="K151" i="1"/>
  <c r="K150" i="1"/>
  <c r="K149" i="1"/>
  <c r="N147" i="1"/>
  <c r="M147" i="1"/>
  <c r="L147" i="1"/>
  <c r="J147" i="1"/>
  <c r="H147" i="1"/>
  <c r="G147" i="1"/>
  <c r="F147" i="1"/>
  <c r="I24" i="1"/>
  <c r="K143" i="1" l="1"/>
  <c r="J140" i="1"/>
  <c r="K147" i="1"/>
  <c r="K144" i="1"/>
  <c r="O144" i="1"/>
  <c r="O140" i="1" s="1"/>
  <c r="G140" i="1"/>
  <c r="K21" i="1"/>
  <c r="O24" i="1"/>
  <c r="O21" i="1" s="1"/>
  <c r="I144" i="1"/>
  <c r="I21" i="1"/>
  <c r="L21" i="1"/>
  <c r="I147" i="1"/>
  <c r="L28" i="1"/>
  <c r="H28" i="1"/>
  <c r="G28" i="1"/>
  <c r="J28" i="1"/>
  <c r="M28" i="1"/>
  <c r="N28" i="1"/>
  <c r="F28" i="1"/>
  <c r="I32" i="1"/>
  <c r="I31" i="1"/>
  <c r="K32" i="1"/>
  <c r="O31" i="1"/>
  <c r="K31" i="1"/>
  <c r="K140" i="1" l="1"/>
  <c r="O28" i="1"/>
  <c r="K28" i="1"/>
  <c r="I28" i="1"/>
  <c r="O169" i="1" l="1"/>
  <c r="G166" i="1"/>
  <c r="H166" i="1"/>
  <c r="L166" i="1"/>
  <c r="M166" i="1"/>
  <c r="N166" i="1"/>
  <c r="F166" i="1"/>
  <c r="K169" i="1"/>
  <c r="K168" i="1"/>
  <c r="I168" i="1"/>
  <c r="I169" i="1"/>
  <c r="J54" i="1"/>
  <c r="E29" i="2"/>
  <c r="F29" i="2"/>
  <c r="G29" i="2"/>
  <c r="H29" i="2"/>
  <c r="K166" i="1" l="1"/>
  <c r="I166" i="1"/>
  <c r="I29" i="2"/>
  <c r="J29" i="2"/>
  <c r="O166" i="1"/>
  <c r="H143" i="1"/>
  <c r="O174" i="1"/>
  <c r="G173" i="1"/>
  <c r="H173" i="1"/>
  <c r="J173" i="1"/>
  <c r="L173" i="1"/>
  <c r="M173" i="1"/>
  <c r="N173" i="1"/>
  <c r="F173" i="1"/>
  <c r="K175" i="1"/>
  <c r="I175" i="1"/>
  <c r="I143" i="1" l="1"/>
  <c r="H140" i="1"/>
  <c r="I140" i="1" s="1"/>
  <c r="K173" i="1"/>
  <c r="I173" i="1"/>
  <c r="O173" i="1"/>
  <c r="K77" i="1"/>
  <c r="M135" i="1"/>
  <c r="N135" i="1" s="1"/>
  <c r="K135" i="1"/>
  <c r="I135" i="1"/>
  <c r="J134" i="1"/>
  <c r="H134" i="1"/>
  <c r="G134" i="1"/>
  <c r="F134" i="1"/>
  <c r="M130" i="1"/>
  <c r="K130" i="1"/>
  <c r="H130" i="1"/>
  <c r="M129" i="1"/>
  <c r="K129" i="1"/>
  <c r="H129" i="1"/>
  <c r="H105" i="1" s="1"/>
  <c r="J128" i="1"/>
  <c r="G128" i="1"/>
  <c r="F128" i="1"/>
  <c r="M123" i="1"/>
  <c r="N123" i="1" s="1"/>
  <c r="K123" i="1"/>
  <c r="I123" i="1"/>
  <c r="J122" i="1"/>
  <c r="H122" i="1"/>
  <c r="G122" i="1"/>
  <c r="F122" i="1"/>
  <c r="M118" i="1"/>
  <c r="K118" i="1"/>
  <c r="I118" i="1"/>
  <c r="J116" i="1"/>
  <c r="H116" i="1"/>
  <c r="G116" i="1"/>
  <c r="F116" i="1"/>
  <c r="N115" i="1"/>
  <c r="N114" i="1"/>
  <c r="M113" i="1"/>
  <c r="K113" i="1"/>
  <c r="I113" i="1"/>
  <c r="M112" i="1"/>
  <c r="K112" i="1"/>
  <c r="I112" i="1"/>
  <c r="M111" i="1"/>
  <c r="K111" i="1"/>
  <c r="I111" i="1"/>
  <c r="J110" i="1"/>
  <c r="H110" i="1"/>
  <c r="G110" i="1"/>
  <c r="F110" i="1"/>
  <c r="H109" i="1"/>
  <c r="G109" i="1"/>
  <c r="F109" i="1"/>
  <c r="H108" i="1"/>
  <c r="G108" i="1"/>
  <c r="F108" i="1"/>
  <c r="J107" i="1"/>
  <c r="H107" i="1"/>
  <c r="G107" i="1"/>
  <c r="O107" i="1" s="1"/>
  <c r="F107" i="1"/>
  <c r="J106" i="1"/>
  <c r="G106" i="1"/>
  <c r="O106" i="1" s="1"/>
  <c r="F106" i="1"/>
  <c r="J105" i="1"/>
  <c r="G105" i="1"/>
  <c r="O105" i="1" s="1"/>
  <c r="F105" i="1"/>
  <c r="M101" i="1"/>
  <c r="K101" i="1"/>
  <c r="H101" i="1"/>
  <c r="M100" i="1"/>
  <c r="K100" i="1"/>
  <c r="H100" i="1"/>
  <c r="I100" i="1" s="1"/>
  <c r="J98" i="1"/>
  <c r="G98" i="1"/>
  <c r="F98" i="1"/>
  <c r="M96" i="1"/>
  <c r="N96" i="1" s="1"/>
  <c r="K96" i="1"/>
  <c r="I96" i="1"/>
  <c r="M95" i="1"/>
  <c r="K95" i="1"/>
  <c r="M94" i="1"/>
  <c r="J94" i="1"/>
  <c r="K94" i="1" s="1"/>
  <c r="I94" i="1"/>
  <c r="G92" i="1"/>
  <c r="F92" i="1"/>
  <c r="H91" i="1"/>
  <c r="H73" i="1" s="1"/>
  <c r="G91" i="1"/>
  <c r="G73" i="1" s="1"/>
  <c r="F91" i="1"/>
  <c r="F73" i="1" s="1"/>
  <c r="J90" i="1"/>
  <c r="J72" i="1" s="1"/>
  <c r="H90" i="1"/>
  <c r="H72" i="1" s="1"/>
  <c r="G90" i="1"/>
  <c r="F90" i="1"/>
  <c r="F72" i="1" s="1"/>
  <c r="J89" i="1"/>
  <c r="J71" i="1" s="1"/>
  <c r="G89" i="1"/>
  <c r="O89" i="1" s="1"/>
  <c r="F89" i="1"/>
  <c r="F71" i="1" s="1"/>
  <c r="G88" i="1"/>
  <c r="F88" i="1"/>
  <c r="F70" i="1" s="1"/>
  <c r="H87" i="1"/>
  <c r="H69" i="1" s="1"/>
  <c r="G87" i="1"/>
  <c r="F87" i="1"/>
  <c r="F69" i="1" s="1"/>
  <c r="H83" i="1"/>
  <c r="M82" i="1"/>
  <c r="K82" i="1"/>
  <c r="I82" i="1"/>
  <c r="F80" i="1"/>
  <c r="M77" i="1"/>
  <c r="N77" i="1" s="1"/>
  <c r="M76" i="1"/>
  <c r="K76" i="1"/>
  <c r="I76" i="1"/>
  <c r="J74" i="1"/>
  <c r="H74" i="1"/>
  <c r="G74" i="1"/>
  <c r="F74" i="1"/>
  <c r="O104" i="1" l="1"/>
  <c r="G70" i="1"/>
  <c r="O70" i="1" s="1"/>
  <c r="O64" i="1" s="1"/>
  <c r="O88" i="1"/>
  <c r="K83" i="1"/>
  <c r="O83" i="1"/>
  <c r="O80" i="1" s="1"/>
  <c r="G69" i="1"/>
  <c r="O87" i="1"/>
  <c r="G72" i="1"/>
  <c r="I72" i="1" s="1"/>
  <c r="O90" i="1"/>
  <c r="F64" i="1"/>
  <c r="F11" i="1" s="1"/>
  <c r="F66" i="1"/>
  <c r="F13" i="1" s="1"/>
  <c r="M134" i="1"/>
  <c r="G67" i="1"/>
  <c r="G14" i="1" s="1"/>
  <c r="K14" i="1" s="1"/>
  <c r="H66" i="1"/>
  <c r="H13" i="1" s="1"/>
  <c r="J65" i="1"/>
  <c r="J12" i="1" s="1"/>
  <c r="F65" i="1"/>
  <c r="F12" i="1" s="1"/>
  <c r="J70" i="1"/>
  <c r="I110" i="1"/>
  <c r="M110" i="1"/>
  <c r="M105" i="1"/>
  <c r="M88" i="1"/>
  <c r="M70" i="1" s="1"/>
  <c r="F104" i="1"/>
  <c r="I122" i="1"/>
  <c r="M90" i="1"/>
  <c r="M72" i="1" s="1"/>
  <c r="M66" i="1" s="1"/>
  <c r="M13" i="1" s="1"/>
  <c r="M89" i="1"/>
  <c r="N89" i="1" s="1"/>
  <c r="M98" i="1"/>
  <c r="I105" i="1"/>
  <c r="J66" i="1"/>
  <c r="J13" i="1" s="1"/>
  <c r="J92" i="1"/>
  <c r="K92" i="1" s="1"/>
  <c r="G80" i="1"/>
  <c r="K80" i="1" s="1"/>
  <c r="I83" i="1"/>
  <c r="H67" i="1"/>
  <c r="H14" i="1" s="1"/>
  <c r="K107" i="1"/>
  <c r="I88" i="1"/>
  <c r="M92" i="1"/>
  <c r="N92" i="1" s="1"/>
  <c r="J104" i="1"/>
  <c r="H106" i="1"/>
  <c r="H104" i="1" s="1"/>
  <c r="H63" i="1"/>
  <c r="F68" i="1"/>
  <c r="H92" i="1"/>
  <c r="I92" i="1" s="1"/>
  <c r="M106" i="1"/>
  <c r="N106" i="1" s="1"/>
  <c r="M116" i="1"/>
  <c r="F67" i="1"/>
  <c r="F14" i="1" s="1"/>
  <c r="J63" i="1"/>
  <c r="I90" i="1"/>
  <c r="M107" i="1"/>
  <c r="H80" i="1"/>
  <c r="G86" i="1"/>
  <c r="H70" i="1"/>
  <c r="G71" i="1"/>
  <c r="O71" i="1" s="1"/>
  <c r="O65" i="1" s="1"/>
  <c r="I74" i="1"/>
  <c r="F86" i="1"/>
  <c r="H89" i="1"/>
  <c r="H71" i="1" s="1"/>
  <c r="H98" i="1"/>
  <c r="I98" i="1" s="1"/>
  <c r="G104" i="1"/>
  <c r="H128" i="1"/>
  <c r="I128" i="1" s="1"/>
  <c r="I134" i="1"/>
  <c r="N111" i="1"/>
  <c r="K98" i="1"/>
  <c r="K106" i="1"/>
  <c r="I107" i="1"/>
  <c r="F63" i="1"/>
  <c r="F10" i="1" s="1"/>
  <c r="M74" i="1"/>
  <c r="K90" i="1"/>
  <c r="K110" i="1"/>
  <c r="M128" i="1"/>
  <c r="K105" i="1"/>
  <c r="I116" i="1"/>
  <c r="M122" i="1"/>
  <c r="I129" i="1"/>
  <c r="N129" i="1"/>
  <c r="I130" i="1"/>
  <c r="N130" i="1"/>
  <c r="N76" i="1"/>
  <c r="M83" i="1"/>
  <c r="N83" i="1" s="1"/>
  <c r="K89" i="1"/>
  <c r="I95" i="1"/>
  <c r="N95" i="1"/>
  <c r="I101" i="1"/>
  <c r="N101" i="1"/>
  <c r="N112" i="1"/>
  <c r="N118" i="1"/>
  <c r="K74" i="1"/>
  <c r="N82" i="1"/>
  <c r="N94" i="1"/>
  <c r="N100" i="1"/>
  <c r="N113" i="1"/>
  <c r="K116" i="1"/>
  <c r="K122" i="1"/>
  <c r="K128" i="1"/>
  <c r="K134" i="1"/>
  <c r="G64" i="1" l="1"/>
  <c r="G11" i="1" s="1"/>
  <c r="K70" i="1"/>
  <c r="O86" i="1"/>
  <c r="G66" i="1"/>
  <c r="G13" i="1" s="1"/>
  <c r="K13" i="1" s="1"/>
  <c r="K72" i="1"/>
  <c r="G63" i="1"/>
  <c r="G10" i="1" s="1"/>
  <c r="O69" i="1"/>
  <c r="O63" i="1" s="1"/>
  <c r="O62" i="1" s="1"/>
  <c r="N105" i="1"/>
  <c r="N63" i="1" s="1"/>
  <c r="N10" i="1" s="1"/>
  <c r="N134" i="1"/>
  <c r="F9" i="1"/>
  <c r="I80" i="1"/>
  <c r="I14" i="1"/>
  <c r="M63" i="1"/>
  <c r="M10" i="1" s="1"/>
  <c r="N98" i="1"/>
  <c r="I106" i="1"/>
  <c r="J86" i="1"/>
  <c r="K86" i="1" s="1"/>
  <c r="M86" i="1"/>
  <c r="N86" i="1" s="1"/>
  <c r="N90" i="1"/>
  <c r="N72" i="1" s="1"/>
  <c r="N66" i="1" s="1"/>
  <c r="N13" i="1" s="1"/>
  <c r="J64" i="1"/>
  <c r="J11" i="1" s="1"/>
  <c r="K88" i="1"/>
  <c r="L13" i="1"/>
  <c r="J68" i="1"/>
  <c r="N88" i="1"/>
  <c r="N70" i="1" s="1"/>
  <c r="N64" i="1" s="1"/>
  <c r="N11" i="1" s="1"/>
  <c r="J10" i="1"/>
  <c r="H10" i="1"/>
  <c r="N110" i="1"/>
  <c r="H64" i="1"/>
  <c r="F62" i="1"/>
  <c r="K104" i="1"/>
  <c r="N116" i="1"/>
  <c r="I104" i="1"/>
  <c r="L10" i="1"/>
  <c r="N71" i="1"/>
  <c r="N107" i="1"/>
  <c r="M64" i="1"/>
  <c r="O13" i="1"/>
  <c r="I71" i="1"/>
  <c r="H65" i="1"/>
  <c r="H12" i="1" s="1"/>
  <c r="K71" i="1"/>
  <c r="G65" i="1"/>
  <c r="I70" i="1"/>
  <c r="I89" i="1"/>
  <c r="H86" i="1"/>
  <c r="I86" i="1" s="1"/>
  <c r="G68" i="1"/>
  <c r="H68" i="1"/>
  <c r="N128" i="1"/>
  <c r="M104" i="1"/>
  <c r="N74" i="1"/>
  <c r="N122" i="1"/>
  <c r="M71" i="1"/>
  <c r="M80" i="1"/>
  <c r="I66" i="1" l="1"/>
  <c r="K11" i="1"/>
  <c r="I64" i="1"/>
  <c r="K66" i="1"/>
  <c r="I63" i="1"/>
  <c r="I10" i="1"/>
  <c r="K10" i="1"/>
  <c r="K63" i="1"/>
  <c r="K68" i="1"/>
  <c r="I13" i="1"/>
  <c r="J62" i="1"/>
  <c r="K64" i="1"/>
  <c r="J9" i="1"/>
  <c r="K65" i="1"/>
  <c r="G12" i="1"/>
  <c r="M11" i="1"/>
  <c r="L11" i="1"/>
  <c r="H11" i="1"/>
  <c r="N65" i="1"/>
  <c r="G62" i="1"/>
  <c r="I68" i="1"/>
  <c r="N104" i="1"/>
  <c r="H62" i="1"/>
  <c r="L12" i="1"/>
  <c r="I65" i="1"/>
  <c r="M65" i="1"/>
  <c r="M12" i="1" s="1"/>
  <c r="M68" i="1"/>
  <c r="N80" i="1"/>
  <c r="H9" i="1" l="1"/>
  <c r="I11" i="1"/>
  <c r="G9" i="1"/>
  <c r="K9" i="1" s="1"/>
  <c r="K12" i="1"/>
  <c r="I12" i="1"/>
  <c r="K62" i="1"/>
  <c r="L9" i="1"/>
  <c r="N62" i="1"/>
  <c r="N12" i="1"/>
  <c r="N9" i="1" s="1"/>
  <c r="M9" i="1"/>
  <c r="I62" i="1"/>
  <c r="N68" i="1"/>
  <c r="M62" i="1"/>
  <c r="I9" i="1" l="1"/>
  <c r="O57" i="1"/>
  <c r="O12" i="1" s="1"/>
  <c r="O55" i="1"/>
  <c r="K57" i="1"/>
  <c r="K56" i="1"/>
  <c r="I57" i="1"/>
  <c r="I56" i="1"/>
  <c r="I55" i="1"/>
  <c r="N54" i="1"/>
  <c r="M54" i="1"/>
  <c r="H54" i="1"/>
  <c r="F54" i="1"/>
  <c r="K17" i="1"/>
  <c r="N15" i="1"/>
  <c r="M15" i="1"/>
  <c r="L15" i="1"/>
  <c r="J15" i="1"/>
  <c r="G15" i="1"/>
  <c r="H15" i="1"/>
  <c r="F15" i="1"/>
  <c r="O17" i="1"/>
  <c r="I17" i="1"/>
  <c r="O10" i="1" l="1"/>
  <c r="O54" i="1"/>
  <c r="O15" i="1"/>
  <c r="O11" i="1"/>
  <c r="I15" i="1"/>
  <c r="K15" i="1"/>
  <c r="K54" i="1"/>
  <c r="I54" i="1"/>
  <c r="O9" i="1" l="1"/>
  <c r="C10" i="1"/>
  <c r="D10" i="1"/>
  <c r="E10" i="1"/>
  <c r="C20" i="1"/>
  <c r="D20" i="1"/>
  <c r="E20" i="1"/>
  <c r="C13" i="1"/>
  <c r="D13" i="1"/>
  <c r="E13" i="1"/>
  <c r="C14" i="1"/>
  <c r="D14" i="1"/>
  <c r="E14" i="1"/>
  <c r="C25" i="1"/>
  <c r="C21" i="1" s="1"/>
  <c r="D25" i="1"/>
  <c r="D21" i="1" s="1"/>
  <c r="E25" i="1"/>
  <c r="E21" i="1" s="1"/>
  <c r="C26" i="1"/>
  <c r="D26" i="1"/>
  <c r="E26" i="1"/>
  <c r="C30" i="1"/>
  <c r="C28" i="1" s="1"/>
  <c r="D30" i="1"/>
  <c r="D28" i="1" s="1"/>
  <c r="E30" i="1"/>
  <c r="E28" i="1" s="1"/>
  <c r="C34" i="1"/>
  <c r="D34" i="1"/>
  <c r="E34" i="1"/>
  <c r="C35" i="1"/>
  <c r="D35" i="1"/>
  <c r="E35" i="1"/>
  <c r="C37" i="1"/>
  <c r="E37" i="1"/>
  <c r="C40" i="1"/>
  <c r="D40" i="1"/>
  <c r="E40" i="1"/>
  <c r="C41" i="1"/>
  <c r="D41" i="1"/>
  <c r="E41" i="1"/>
  <c r="D43" i="1"/>
  <c r="C43" i="1"/>
  <c r="C54" i="1"/>
  <c r="D54" i="1"/>
  <c r="E54" i="1"/>
  <c r="C60" i="1"/>
  <c r="D60" i="1"/>
  <c r="E60" i="1"/>
  <c r="C61" i="1"/>
  <c r="D61" i="1"/>
  <c r="E61" i="1"/>
  <c r="C140" i="1"/>
  <c r="D140" i="1"/>
  <c r="E140" i="1"/>
  <c r="C169" i="1"/>
  <c r="C166" i="1" s="1"/>
  <c r="D169" i="1"/>
  <c r="D166" i="1" s="1"/>
  <c r="E169" i="1"/>
  <c r="C172" i="1"/>
  <c r="D172" i="1"/>
  <c r="E172" i="1"/>
  <c r="C174" i="1"/>
  <c r="D174" i="1"/>
  <c r="E174" i="1"/>
  <c r="C178" i="1"/>
  <c r="D178" i="1"/>
  <c r="E178" i="1"/>
  <c r="C179" i="1"/>
  <c r="D179" i="1"/>
  <c r="E179" i="1"/>
  <c r="C181" i="1"/>
  <c r="C180" i="1" s="1"/>
  <c r="D181" i="1"/>
  <c r="D180" i="1" s="1"/>
  <c r="E181" i="1"/>
  <c r="E180" i="1" s="1"/>
  <c r="C188" i="1"/>
  <c r="D188" i="1"/>
  <c r="E188" i="1"/>
  <c r="C189" i="1"/>
  <c r="D189" i="1"/>
  <c r="E189" i="1"/>
  <c r="C190" i="1"/>
  <c r="D190" i="1"/>
  <c r="E190" i="1"/>
  <c r="C15" i="1" l="1"/>
  <c r="D48" i="1"/>
  <c r="C173" i="1"/>
  <c r="E173" i="1"/>
  <c r="D173" i="1"/>
  <c r="D15" i="1"/>
  <c r="C11" i="1"/>
  <c r="C9" i="1" s="1"/>
  <c r="C42" i="1"/>
  <c r="C48" i="1"/>
  <c r="C36" i="1"/>
  <c r="E43" i="1"/>
  <c r="D11" i="1"/>
  <c r="D9" i="1" s="1"/>
  <c r="E36" i="1"/>
  <c r="D42" i="1"/>
  <c r="D37" i="1"/>
  <c r="D36" i="1" s="1"/>
  <c r="D12" i="1"/>
  <c r="C12" i="1"/>
  <c r="E12" i="1"/>
  <c r="E15" i="1"/>
  <c r="E48" i="1" l="1"/>
  <c r="E11" i="1"/>
  <c r="E9" i="1" s="1"/>
  <c r="E42" i="1"/>
  <c r="H4" i="2" l="1"/>
  <c r="N4" i="2" l="1"/>
  <c r="E15" i="2" l="1"/>
  <c r="H10" i="2"/>
  <c r="N10" i="2" s="1"/>
  <c r="G10" i="2"/>
  <c r="M10" i="2" s="1"/>
  <c r="F10" i="2"/>
  <c r="L10" i="2" s="1"/>
  <c r="E10" i="2" l="1"/>
  <c r="I10" i="2"/>
  <c r="J10" i="2"/>
  <c r="F15" i="2"/>
  <c r="L15" i="2" s="1"/>
  <c r="G15" i="2"/>
  <c r="M15" i="2" s="1"/>
  <c r="H15" i="2"/>
  <c r="N15" i="2" s="1"/>
  <c r="J15" i="2" l="1"/>
  <c r="I15" i="2"/>
  <c r="E5" i="2" l="1"/>
  <c r="H5" i="2"/>
  <c r="E16" i="2"/>
  <c r="E11" i="2"/>
  <c r="H11" i="2" l="1"/>
  <c r="N11" i="2" s="1"/>
  <c r="N5" i="2"/>
  <c r="K17" i="2"/>
  <c r="N17" i="2"/>
  <c r="H14" i="2"/>
  <c r="N14" i="2" s="1"/>
  <c r="E14" i="2"/>
  <c r="F11" i="2"/>
  <c r="G11" i="2"/>
  <c r="G16" i="2"/>
  <c r="M16" i="2" s="1"/>
  <c r="E19" i="2"/>
  <c r="G14" i="2" l="1"/>
  <c r="M14" i="2" s="1"/>
  <c r="I11" i="2"/>
  <c r="M11" i="2"/>
  <c r="J11" i="2"/>
  <c r="L11" i="2"/>
  <c r="F5" i="2"/>
  <c r="G5" i="2"/>
  <c r="I5" i="2" s="1"/>
  <c r="F16" i="2"/>
  <c r="L16" i="2" s="1"/>
  <c r="F14" i="2"/>
  <c r="F19" i="2"/>
  <c r="L19" i="2" s="1"/>
  <c r="I14" i="2" l="1"/>
  <c r="M17" i="2"/>
  <c r="L17" i="2"/>
  <c r="J14" i="2"/>
  <c r="L14" i="2"/>
  <c r="M5" i="2"/>
  <c r="J5" i="2"/>
  <c r="L5" i="2"/>
  <c r="E6" i="2"/>
  <c r="H16" i="2"/>
  <c r="G6" i="2"/>
  <c r="M6" i="2" s="1"/>
  <c r="H6" i="2"/>
  <c r="N6" i="2" l="1"/>
  <c r="I16" i="2"/>
  <c r="N16" i="2"/>
  <c r="F6" i="2"/>
  <c r="J16" i="2"/>
  <c r="I6" i="2"/>
  <c r="J6" i="2" l="1"/>
  <c r="L6" i="2"/>
  <c r="E23" i="2" l="1"/>
  <c r="G23" i="2" l="1"/>
  <c r="M23" i="2" s="1"/>
  <c r="H23" i="2"/>
  <c r="N23" i="2" s="1"/>
  <c r="E21" i="2"/>
  <c r="F21" i="2" l="1"/>
  <c r="L21" i="2" s="1"/>
  <c r="I23" i="2"/>
  <c r="H8" i="2"/>
  <c r="N8" i="2" l="1"/>
  <c r="E8" i="2" l="1"/>
  <c r="G4" i="2" l="1"/>
  <c r="F8" i="2" l="1"/>
  <c r="G8" i="2"/>
  <c r="I4" i="2"/>
  <c r="M4" i="2"/>
  <c r="L8" i="2" l="1"/>
  <c r="J8" i="2"/>
  <c r="M8" i="2"/>
  <c r="I8" i="2"/>
  <c r="E9" i="2" l="1"/>
  <c r="E4" i="2"/>
  <c r="E30" i="2" l="1"/>
  <c r="F9" i="2"/>
  <c r="L9" i="2" s="1"/>
  <c r="G9" i="2"/>
  <c r="H9" i="2"/>
  <c r="F4" i="2"/>
  <c r="J4" i="2" l="1"/>
  <c r="L4" i="2"/>
  <c r="M9" i="2"/>
  <c r="N9" i="2"/>
  <c r="I9" i="2"/>
  <c r="J9" i="2"/>
  <c r="E36" i="2" l="1"/>
  <c r="G21" i="2" l="1"/>
  <c r="M21" i="2" l="1"/>
  <c r="H21" i="2"/>
  <c r="I21" i="2" s="1"/>
  <c r="N21" i="2" l="1"/>
  <c r="J21" i="2"/>
  <c r="F23" i="2" l="1"/>
  <c r="F30" i="2" s="1"/>
  <c r="L23" i="2" l="1"/>
  <c r="J23" i="2"/>
  <c r="F36" i="2" l="1"/>
  <c r="G19" i="2" l="1"/>
  <c r="G30" i="2" s="1"/>
  <c r="M19" i="2" l="1"/>
  <c r="G36" i="2" l="1"/>
  <c r="H19" i="2"/>
  <c r="H30" i="2" s="1"/>
  <c r="J30" i="2" s="1"/>
  <c r="J19" i="2" l="1"/>
  <c r="N19" i="2"/>
  <c r="I19" i="2"/>
  <c r="I30" i="2" s="1"/>
  <c r="I36" i="2" l="1"/>
  <c r="H36" i="2"/>
  <c r="J36" i="2"/>
</calcChain>
</file>

<file path=xl/comments1.xml><?xml version="1.0" encoding="utf-8"?>
<comments xmlns="http://schemas.openxmlformats.org/spreadsheetml/2006/main">
  <authors>
    <author>Вершинина Мария Игоревна</author>
    <author>Залецкая Ольга Геннадьевна</author>
  </authors>
  <commentList>
    <comment ref="B116" authorId="0">
      <text>
        <r>
          <rPr>
            <b/>
            <sz val="9"/>
            <color indexed="81"/>
            <rFont val="Tahoma"/>
            <family val="2"/>
            <charset val="204"/>
          </rPr>
          <t>Вершинина Мария Игоревна:</t>
        </r>
        <r>
          <rPr>
            <sz val="9"/>
            <color indexed="81"/>
            <rFont val="Tahoma"/>
            <family val="2"/>
            <charset val="204"/>
          </rPr>
          <t xml:space="preserve">
2135
</t>
        </r>
      </text>
    </comment>
    <comment ref="O168" authorId="1">
      <text>
        <r>
          <rPr>
            <b/>
            <sz val="9"/>
            <color indexed="81"/>
            <rFont val="Tahoma"/>
            <family val="2"/>
            <charset val="204"/>
          </rPr>
          <t>Залецкая Ольга Геннадьевна:</t>
        </r>
        <r>
          <rPr>
            <sz val="9"/>
            <color indexed="81"/>
            <rFont val="Tahoma"/>
            <family val="2"/>
            <charset val="204"/>
          </rPr>
          <t xml:space="preserve">
</t>
        </r>
        <r>
          <rPr>
            <sz val="24"/>
            <color indexed="81"/>
            <rFont val="Tahoma"/>
            <family val="2"/>
            <charset val="204"/>
          </rPr>
          <t xml:space="preserve">Предприниматели
</t>
        </r>
      </text>
    </comment>
    <comment ref="O169" authorId="1">
      <text>
        <r>
          <rPr>
            <b/>
            <sz val="9"/>
            <color indexed="81"/>
            <rFont val="Tahoma"/>
            <family val="2"/>
            <charset val="204"/>
          </rPr>
          <t>Залецкая Ольга Геннадьевна:</t>
        </r>
        <r>
          <rPr>
            <sz val="9"/>
            <color indexed="81"/>
            <rFont val="Tahoma"/>
            <family val="2"/>
            <charset val="204"/>
          </rPr>
          <t xml:space="preserve">
</t>
        </r>
        <r>
          <rPr>
            <sz val="18"/>
            <color indexed="81"/>
            <rFont val="Tahoma"/>
            <family val="2"/>
            <charset val="204"/>
          </rPr>
          <t xml:space="preserve">Предприниматели
</t>
        </r>
      </text>
    </comment>
  </commentList>
</comments>
</file>

<file path=xl/comments2.xml><?xml version="1.0" encoding="utf-8"?>
<comments xmlns="http://schemas.openxmlformats.org/spreadsheetml/2006/main">
  <authors>
    <author>Вершинина Мария Игоревна</author>
  </authors>
  <commentList>
    <comment ref="B114" authorId="0">
      <text>
        <r>
          <rPr>
            <b/>
            <sz val="9"/>
            <color indexed="81"/>
            <rFont val="Tahoma"/>
            <family val="2"/>
            <charset val="204"/>
          </rPr>
          <t>Вершинина Мария Игоревна:</t>
        </r>
        <r>
          <rPr>
            <sz val="9"/>
            <color indexed="81"/>
            <rFont val="Tahoma"/>
            <family val="2"/>
            <charset val="204"/>
          </rPr>
          <t xml:space="preserve">
2135
</t>
        </r>
      </text>
    </comment>
  </commentList>
</comments>
</file>

<file path=xl/sharedStrings.xml><?xml version="1.0" encoding="utf-8"?>
<sst xmlns="http://schemas.openxmlformats.org/spreadsheetml/2006/main" count="636" uniqueCount="224">
  <si>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</si>
  <si>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</si>
  <si>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</si>
  <si>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</si>
  <si>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</si>
  <si>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</si>
  <si>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</si>
  <si>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</si>
  <si>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</si>
  <si>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</si>
  <si>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</si>
  <si>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</si>
  <si>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</si>
  <si>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</si>
  <si>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</si>
  <si>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</si>
  <si>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</si>
  <si>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Остатки средств предыдущих периодов 
(на 01.01.2014 года)</t>
  </si>
  <si>
    <t>Исполнение, возврат остатков предыдущих периодов                 
(на 01.02.2014 года)</t>
  </si>
  <si>
    <t xml:space="preserve">Остатки средств предыдущих периодов 
(на 01.02.2014) 
с учетом возврата, исполнения </t>
  </si>
  <si>
    <t>8.</t>
  </si>
  <si>
    <t>9.</t>
  </si>
  <si>
    <t>10.</t>
  </si>
  <si>
    <t>11.</t>
  </si>
  <si>
    <t>12.</t>
  </si>
  <si>
    <t>13.</t>
  </si>
  <si>
    <t>14.</t>
  </si>
  <si>
    <t>15.</t>
  </si>
  <si>
    <t>16.</t>
  </si>
  <si>
    <t>17.</t>
  </si>
  <si>
    <t>18.</t>
  </si>
  <si>
    <t>19.</t>
  </si>
  <si>
    <t>22.</t>
  </si>
  <si>
    <t>Наименование программы</t>
  </si>
  <si>
    <t>Королёва Ю.Г.</t>
  </si>
  <si>
    <t>Грищенкова Г.Р.</t>
  </si>
  <si>
    <t>Алешкова Н.П.</t>
  </si>
  <si>
    <t>Лапин О.М.</t>
  </si>
  <si>
    <t>Кочетков В.В.</t>
  </si>
  <si>
    <t>Османкина Т.Н.</t>
  </si>
  <si>
    <t>Пелевин А.Р.</t>
  </si>
  <si>
    <t xml:space="preserve"> Анохин А.С.</t>
  </si>
  <si>
    <t xml:space="preserve"> Фокеев А.А.</t>
  </si>
  <si>
    <t>Примечание</t>
  </si>
  <si>
    <t>реализуется</t>
  </si>
  <si>
    <t>НЕ реализуется</t>
  </si>
  <si>
    <t>21.</t>
  </si>
  <si>
    <t>20.</t>
  </si>
  <si>
    <t>Всего по программам 
Ханты-Мансийского автономного округа - Югры</t>
  </si>
  <si>
    <t>Ответственное должностное лицо за реализацию ГП в городе Сургуте</t>
  </si>
  <si>
    <t>Исполнено (кассовый расход), всего</t>
  </si>
  <si>
    <t>Остаток финансирования, всего</t>
  </si>
  <si>
    <t>ВСЕГО:</t>
  </si>
  <si>
    <t>тыс. руб.</t>
  </si>
  <si>
    <t>(тыс. руб.)</t>
  </si>
  <si>
    <t>Факт финансирования, всего</t>
  </si>
  <si>
    <t>1.</t>
  </si>
  <si>
    <t>4.</t>
  </si>
  <si>
    <t xml:space="preserve">7. </t>
  </si>
  <si>
    <t>24.</t>
  </si>
  <si>
    <t>25.</t>
  </si>
  <si>
    <t>Утвержденный план 
на 2015год, всего</t>
  </si>
  <si>
    <t xml:space="preserve">Уточненный план 
на 2015 год, всего </t>
  </si>
  <si>
    <t>Шерстнева А.Ю.</t>
  </si>
  <si>
    <t xml:space="preserve">Утвержденный план 
на 2016 год </t>
  </si>
  <si>
    <t xml:space="preserve">Уточненный план 
на 2016 год </t>
  </si>
  <si>
    <t>Ожидаемое исполнение на 01.01.2017</t>
  </si>
  <si>
    <t>Государственная программа Ханты-Мансийского автономного округа – Югры «Содействие занятости населения в Ханты-Мансийском автономном округе – Югре на 2016-2020 годы» (Королёва Ю.Г.)</t>
  </si>
  <si>
    <t>Государственная программа "Развитие культуры и туризма в Ханты-Мансийском автономном округе - Югре на 2016-2020 годы" (Грищенкова Г.Р.)</t>
  </si>
  <si>
    <t>Государственная программа Ханты-Мансийского автономного округа – Югры «Доступная среда в Ханты-Мансийском автономном округе – Югре на 2016-2020 годы» (Пелевин А.Р.)</t>
  </si>
  <si>
    <t>Государственная программа Ханты-Мансийского автономного округа – Югры «Социальная поддержка жителей Ханты-Мансийского автономного округа – Югры на 2016-2020 годы» (Пелевин А.Р.)</t>
  </si>
  <si>
    <t>Государственная программа Ханты-Мансийского автономного округа – Югры «Развитие образования в Ханты-Мансийском автономном округе – Югре на 2016-2020 годы» 
(Османкина Т.Н.)</t>
  </si>
  <si>
    <t>Государственная программа "Развитие здравоохранения  на 2016-2020 годы" 
(Пелевин А.Р.)</t>
  </si>
  <si>
    <t xml:space="preserve">"Развитие здравоохранения  на 2016-2020 годы" </t>
  </si>
  <si>
    <t xml:space="preserve">"Развитие образования в Ханты-Мансийском автономном округе – Югре на 2016-2020 годы» </t>
  </si>
  <si>
    <t xml:space="preserve">«Социальная поддержка жителей Ханты-Мансийского автономного округа – Югры на 2016-2020 годы» </t>
  </si>
  <si>
    <t xml:space="preserve">«Доступная среда в Ханты-Мансийском автономном округе – Югре на 2016-2020 годы» </t>
  </si>
  <si>
    <t>"Развитие культуры и туризма в Ханты-Мансийском автономном округе - Югре на 2016-2020 годы"</t>
  </si>
  <si>
    <t xml:space="preserve">"Развитие физической культуры и спорта в Ханты-Мансийском автономном округе — Югре на 2016 — 2020 годы" </t>
  </si>
  <si>
    <t xml:space="preserve">«Содействие занятости населения в Ханты-Мансийском автономном округе – Югре на 2016-2020 годы» </t>
  </si>
  <si>
    <t xml:space="preserve">«Развитие агропромышленного комплекса и рынков сельскохозяйственной продукции, сырья и продовольствия в Ханты-Мансийском автономном округе – Югре в 2016-2020 годах» </t>
  </si>
  <si>
    <t>Пешков С.М.</t>
  </si>
  <si>
    <t xml:space="preserve">«Развитие лесного хозяйства и лесопромышленного комплекса Ханты-Мансийского автономного округа – Югры на 2016-2020 годы» </t>
  </si>
  <si>
    <t xml:space="preserve">«Социально-экономическое развитие,коренных малочисленных народов Севера Ханты-Мансийского автономного округа – Югры на 2016-2020 годы» </t>
  </si>
  <si>
    <t xml:space="preserve">"Обеспечение доступным и комфортным жильем жителей Ханты-Мансийского автономного округа - Югры в 2016-2020 годах" </t>
  </si>
  <si>
    <t xml:space="preserve">«Развитие жилищно-коммунального комплекса и повышение энергетической эффективности в Ханты-Мансийском автономном округе – Югре на 2016-2020 годы» </t>
  </si>
  <si>
    <t>Перунова С.А.</t>
  </si>
  <si>
    <t xml:space="preserve">«О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обеспеченич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2016-2020 годах» </t>
  </si>
  <si>
    <t xml:space="preserve">«Защита населения и территорий от чрезвычайных ситуаций, обеспечение пожарной безопасности в Ханты-Мансийском автономном округе – Югре на 2016-2020 годы» </t>
  </si>
  <si>
    <t>«Обеспечение экологической безопасности Ханты-Мансийского автономного округа – Югры на 2016-2020 годы"</t>
  </si>
  <si>
    <t xml:space="preserve">«Социально-экономическое развитие, инвестиции и инновации Ханты-Мансийского автономного округа – Югры на 2016-2020 годы» </t>
  </si>
  <si>
    <t xml:space="preserve">«Информационное общество Ханты-Мансийского автономного округа – Югры на 2016-2020 годы» </t>
  </si>
  <si>
    <t>"Развитие транспортной системы Ханты-Мансийского автономного округа — Югры на 2016-2020 годы"</t>
  </si>
  <si>
    <t xml:space="preserve">«Управление государственными финансами в Ханты-Мансийском автономном округе – Югре на 2016-2020 годы» </t>
  </si>
  <si>
    <t xml:space="preserve">«Создание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2016-2020 годы» </t>
  </si>
  <si>
    <t xml:space="preserve">«Развитие гражданского общества Ханты-Мансийского автономного округа – Югры на 2016-2020 годы» </t>
  </si>
  <si>
    <t xml:space="preserve">«Управление государственным имуществом Ханты-Мансийского автономного округа – Югры на 2016-2020 годы» </t>
  </si>
  <si>
    <t xml:space="preserve">«Развитие и использование минерально-сырьевой базы Ханты-Мансийского автономного округа – Югры на 2016-2020 годы» </t>
  </si>
  <si>
    <t xml:space="preserve">«Развитие государственной гражданской службы, муниципальной службы и резерва управленческих кадров в Ханты-Мансийском автономном округе – Югре в 2016-2020 годах» </t>
  </si>
  <si>
    <t>Государственная программа "Развитие физической культуры и спорта в Ханты-Мансийском автономном округе — Югре на 2016 — 2020 годы" (Грищенкова Г.Р.)</t>
  </si>
  <si>
    <t>Государственная программа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2016-2020 годах»  (Пешков С.М.)</t>
  </si>
  <si>
    <t>Государственная программа Ханты-Мансийского автономного округа – Югры «Развитие лесного хозяйства и лесопромышленного комплекса Ханты-Мансийского автономного округа – Югры на 2016-2020 годы»</t>
  </si>
  <si>
    <t xml:space="preserve">Государственная программа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2016-2020 годы» </t>
  </si>
  <si>
    <t>Государственная программа "Обеспечение доступным и комфортным жильем жителей Ханты-Мансийского автономного округа - Югры в 2016-2020 годах" (Фокеев А.А.)</t>
  </si>
  <si>
    <t>Государственная программа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2016-2020 годы» (Кочетков В.В.)</t>
  </si>
  <si>
    <t>Государственная программа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обеспечение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2016-2020 годах» (Перунова С.А.)</t>
  </si>
  <si>
    <t>Государственная программа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2016-2020 годы» (Лапин О.М.)</t>
  </si>
  <si>
    <t>Государственная программа Ханты-Мансийского автономного округа – Югры «Обеспечение экологической безопасности Ханты-Мансийского автономного округа – Югры на 2016-2020 годы"
 (Анохин А.С.)</t>
  </si>
  <si>
    <t>Государственная программа Ханты-Мансийского автономного округа – Югры «Социально-экономическое развитие, инвестиции и инновации Ханты-Мансийского автономного округа – Югры на 2016-2020 годы» (Королёва Ю.Г.)</t>
  </si>
  <si>
    <t xml:space="preserve">Государственная программа Ханты-Мансийского автономного округа – Югры «Информационное общество Ханты-Мансийского автономного округа – Югры на 2016-2020 годы» </t>
  </si>
  <si>
    <t>Государственная программа "Развитие транспортной системы Ханты-Мансийского автономного округа — Югры на 2016-2020 годы (Фокеев А.А.)</t>
  </si>
  <si>
    <t xml:space="preserve">Государственная программа Ханты-Мансийского автономного округа – Югры «Управление государственными финансами в Ханты-Мансийском автономном округе – Югре на 2016-2020 годы» </t>
  </si>
  <si>
    <t>Государственная программа Ханты-Мансийского автономного округа – Югры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2016-2020 годы» (Шерстнева А.Ю.)</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</si>
  <si>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2016-2020 годы» (Алешкова Н.П.)</t>
  </si>
  <si>
    <t>Государственная программа Ханты-Мансийского автономного округа – Югры «Управление государственным имуществом Ханты-Мансийского автономного округа – Югры на 2016-2020 годы» (Пешков С.М.)</t>
  </si>
  <si>
    <t xml:space="preserve">Государственная программа Ханты-Мансийского автономного округа – Югры «Развитие и использование минерально-сырьевой базы Ханты-Мансийского автономного округа – Югры на 2016-2020 годы»  </t>
  </si>
  <si>
    <t xml:space="preserve">Государственная программа Ханты-Мансийского автономного округа – Югры «Оказание содействия добровольному переселению в Ханты-Мансийский автономный округ – Югру соотечественников, проживающих за рубежом, на 2016–2015 годы» </t>
  </si>
  <si>
    <t xml:space="preserve">Государственная программа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2016-2020 годах» </t>
  </si>
  <si>
    <t>23.</t>
  </si>
  <si>
    <t>25 ГП ХМАО-Югры, из них:                                                                                                                                                                                                                                                                                
13 ГП - мероприятия реализуются;
12 ГП - реализация мероприятий не запланирована</t>
  </si>
  <si>
    <t>"Оказание содействия добровольному переселению в Ханты-Мансийский автономный округ – Югру соотечественников, проживающих за рубежом, на 2016–2020 годы"</t>
  </si>
  <si>
    <t>Государственная программа "Развитие агропромышленного комплекса и рынков сельскохозяйственной продукции, сырья и продовольствия в Ханты-Мансийском автономном округе-Югре в 2016-2020 годах"</t>
  </si>
  <si>
    <t>Результаты реализации программы по состоянию  на отчетную дату  и ожидаемые результаты реализации  с указанием причин и пояснений</t>
  </si>
  <si>
    <t>Ожидаемый остаток средств на 1 января года, следующего за отчетным</t>
  </si>
  <si>
    <t>Реализация мероприятий не запланирована</t>
  </si>
  <si>
    <t>Приложение к письму ДФ</t>
  </si>
  <si>
    <t>от________№__________</t>
  </si>
  <si>
    <r>
      <t xml:space="preserve">Финансовые затраты на реализацию программы в </t>
    </r>
    <r>
      <rPr>
        <u/>
        <sz val="20"/>
        <color theme="1"/>
        <rFont val="Times New Roman"/>
        <family val="2"/>
        <charset val="204"/>
      </rPr>
      <t>2016</t>
    </r>
    <r>
      <rPr>
        <sz val="20"/>
        <color theme="1"/>
        <rFont val="Times New Roman"/>
        <family val="2"/>
        <charset val="204"/>
      </rPr>
      <t xml:space="preserve"> году  </t>
    </r>
  </si>
  <si>
    <t>Информация о реализации государственных программ Ханты-Мансийского автономного округа – Югры в городе Сургуте по состоянию на 01.07.2016 года</t>
  </si>
  <si>
    <t>Информация о реализации государственных программ Ханты-Мансийского автономного округа - Югры
на территории городского округа город Сургут на 01.07.2016 года</t>
  </si>
  <si>
    <t>бюджет ХМАО - Югры</t>
  </si>
  <si>
    <t>Подпрограмма III"Содействие развитию жилищного строительства"</t>
  </si>
  <si>
    <t>Приобретение жилья (ДАиГ)</t>
  </si>
  <si>
    <t>бюджет МО</t>
  </si>
  <si>
    <t>Ликвидация и расселение приспособленных для проживания строений (балочных массивов) (ДАиГ)</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</si>
  <si>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</si>
  <si>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Улица Маяковского на участке от ул. 30 лет Победы до ул. Университетской в г. Сургуте (ДАиГ)</t>
  </si>
  <si>
    <t>Создание наемных домов социального использования (ДАиГ)</t>
  </si>
  <si>
    <t>Подпрограмма  V"Обеспечение мерами государственной поддержки по улучшению жилищных условий отдельных категорий граждан"</t>
  </si>
  <si>
    <t>Улучшение жилищных условий молодых семей в соответствии с федеральной целевой программой "Жилище" (УУиРЖ)</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</si>
  <si>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законодательством"(ХЭУ)</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</si>
  <si>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</si>
  <si>
    <t>Улучшение жилищных условий ветеранов Великой Отечественной войны (ДАиГ)</t>
  </si>
  <si>
    <t>Обеспечение жильем граждан, уволенных с военной службы и приравненных к ним лиц (ДФ)</t>
  </si>
  <si>
    <t>федеральный бюджет (доп.ФК 5101)</t>
  </si>
  <si>
    <t>11.1.</t>
  </si>
  <si>
    <t>11.1.1.</t>
  </si>
  <si>
    <t>11.1.2.</t>
  </si>
  <si>
    <t>11.1.3.</t>
  </si>
  <si>
    <t>11.1.3.1.</t>
  </si>
  <si>
    <t>11.1.4.</t>
  </si>
  <si>
    <t>11.2.</t>
  </si>
  <si>
    <t>11.2.1.</t>
  </si>
  <si>
    <t>11.2.2.</t>
  </si>
  <si>
    <t>11.2.3.</t>
  </si>
  <si>
    <t>11.2.4.</t>
  </si>
  <si>
    <t>11.2.5.</t>
  </si>
  <si>
    <t>ОГХ</t>
  </si>
  <si>
    <r>
      <rPr>
        <u/>
        <sz val="20"/>
        <color theme="1"/>
        <rFont val="Times New Roman"/>
        <family val="1"/>
        <charset val="204"/>
      </rPr>
      <t>ДГХ:</t>
    </r>
    <r>
      <rPr>
        <sz val="20"/>
        <color theme="1"/>
        <rFont val="Times New Roman"/>
        <family val="2"/>
        <charset val="204"/>
      </rPr>
      <t xml:space="preserve"> Ожидаемое неисполнение ожидается по мероприятию "Развитие общественной инфраструктуры и реализация приоритетных направлений развития" в связи со сложившейся экономией по результатам проведения конкурсных процедур. Экономию в сумме 19 445,28 тыс.руб. планируется распределить на другите объекты (по согласванию с округом). Экономия в сумме 238,37 тыс.руб. будет предложена к снятию на очередном заседании Думыв города.
Планируемая площадь строительства кладбища - 3,01 га.                                                                        </t>
    </r>
    <r>
      <rPr>
        <u/>
        <sz val="20"/>
        <color theme="1"/>
        <rFont val="Times New Roman"/>
        <family val="1"/>
        <charset val="204"/>
      </rPr>
      <t>УПиЭ:</t>
    </r>
    <r>
      <rPr>
        <sz val="20"/>
        <color theme="1"/>
        <rFont val="Times New Roman"/>
        <family val="2"/>
        <charset val="204"/>
      </rPr>
      <t xml:space="preserve"> 4 337, 64тыс. руб. - экономия возникшая в результате проведения аукциона в электронной форме, в т.ч.:- 4 125, 93 тыс. руб. - средства окружного бюджета  - 211, 71 тыс. руб. - средства местного бюджета. Экономию в сумме 4 125,93 тыс.руб. планируется распределить на другие объекты (по согласованию с округом).</t>
    </r>
  </si>
  <si>
    <t xml:space="preserve">Для формирования фонда социального использования 25.12.2015  было объявлено два  электронных аукциона на приобретение жилых помещений в многоквартирном жилом доме, общей площадью 15 046,40 кв.м. и 7 460,80 кв.м.
 По итогам электронных аукционов 11.02.2016 заключены контракты с ООО "УК"Центр Менеджмент" №1/2016 на сумму 392 654, 44320 тыс.р., и контракт №2/2016 на сумму 791 876, 98560 тыс.р., сроком действия до 30.03.2017г. По условиям контрактов произведен авансовый платеж в размере 78% стоимости контрактов.                              </t>
  </si>
  <si>
    <t>В списке граждан, имеющих право на получение субсидии за счет средств федерального бюджета по городу Сургуту на 01.01.2016 состоит 512 человек. Согласно уточненного плана планируется в 2016 году предоставить субсидию 12 льготополучателям, из расчета размера субсидии 759 672 рубля. Направление субвенций из федерального бюджета в бюджет города в целях предоставления гражданам субсидий  не предусматривает заключение соглашения о финансировании.  Средства федерального бюджета до конца года планируется освоить в полном объёме.</t>
  </si>
  <si>
    <t>на 01.07.2016</t>
  </si>
  <si>
    <t>По состоянию на 01.07.2016 участниками данной подпрограммы числятся 64 молодые семьи.  30 мая 2016 года между Департаментом строительства ХМАО-Югры и Администрацией гоода Сургута заключено соглашение о финансировании подпрограммы в 2016 году.  Средства федерального и окружного бюджетов  поступили в полном объеме.</t>
  </si>
  <si>
    <t xml:space="preserve">Заключены муниципальные контракты и договоры на приобретение конвертов и бумаги. Планируемый срок освоения средств в 3 квартале 2016 года. </t>
  </si>
  <si>
    <t>С целью ввода объекта в эксплуатацию заключены муниципальные контракты на приобретение оборудования на сумму - 81 625,2 тыс руб.  с учетом монтажа, наладки и сборки - в период с марта по май. 
Объект не введен в эксплуатацию в установленный срок по причине того, что объект не укомплектован необходимым для ввода в эксплуатацию рентгенологическим оборудованием. Учитывая процедуру размещения муниципальных закупок, ориентировочный срок заключения контракта, срок поставки оборудования,ориентировочный срок ввода объекта в эксплуатацию – сентябрь 2016г.
 Возможен ввод объекта в эксплуатацию до поставки вышеуказанного оборудования в случае выдачи досрочно заключения Службой жилищного и строительного надзора ХМАО-Югры.
В соответствии с решением Думы города о внесении изменений в решение Думы города о бюджете города на 2016 год, рассмотрение которого состоялось на заседании Думы города 28 июня 2016 года дополнительно к 162 млн. рублей выделены 44 млн. рублей для оплаты по исполнительному листу дополнительного объема работ, не предусмотренных ПСД.</t>
  </si>
  <si>
    <r>
      <rPr>
        <u/>
        <sz val="20"/>
        <color theme="1"/>
        <rFont val="Times New Roman"/>
        <family val="1"/>
        <charset val="204"/>
      </rPr>
      <t xml:space="preserve">ДГХ: </t>
    </r>
    <r>
      <rPr>
        <sz val="20"/>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t>
    </r>
    <r>
      <rPr>
        <u/>
        <sz val="20"/>
        <color theme="1"/>
        <rFont val="Times New Roman"/>
        <family val="1"/>
        <charset val="204"/>
      </rPr>
      <t>Департамент образования</t>
    </r>
    <r>
      <rPr>
        <sz val="20"/>
        <color theme="1"/>
        <rFont val="Times New Roman"/>
        <family val="2"/>
        <charset val="204"/>
      </rPr>
      <t xml:space="preserve">:
Ожидаемый остаток средств в сумме 40 335,13 тыс. руб. планируется в связи с:
1) уменьшением объема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на 2016 год в сумме 40 113 тыс. руб. по причине снижения фактических затрат по компенсации части родительской платы по причине уменьшения планируемого размера начисленной родительской платы вследствие уменьшения фактического количества дней посещения детьми образовательных учреждений (отсутствие по причине болезни, закрытие дошкольных групп на карантин); снижения среднего размера родительской платы за присмотр и уход на одного ребёнка в месяц в связи с увеличением численности детей, родительская плата за присмотр и уход за которыми взимается в размере 50% (увеличение численности детей льготных категорий).
</t>
    </r>
    <r>
      <rPr>
        <u/>
        <sz val="20"/>
        <color theme="1"/>
        <rFont val="Times New Roman"/>
        <family val="1"/>
        <charset val="204"/>
      </rPr>
      <t>Департамент архитектуры и градостроительства:</t>
    </r>
    <r>
      <rPr>
        <sz val="20"/>
        <color theme="1"/>
        <rFont val="Times New Roman"/>
        <family val="2"/>
        <charset val="204"/>
      </rPr>
      <t xml:space="preserve">
Выкуп объекта "Детский сад №2 на 300 мест в 38 микрорайоне г.Сургута" будет произведен за счет средств областной программы "Сотрудничество". Средства местного бюджета перераспределены на другие цели в соответствии с решением Думы города о внесении изменений в решение Думы города о бюджете города на 2016 год, рассмотрение которого состоялось на заседании Думы города 28 июня 2016 года</t>
    </r>
  </si>
  <si>
    <r>
      <rPr>
        <u/>
        <sz val="20"/>
        <color theme="1"/>
        <rFont val="Times New Roman"/>
        <family val="1"/>
        <charset val="204"/>
      </rPr>
      <t>АГ:</t>
    </r>
    <r>
      <rPr>
        <sz val="20"/>
        <color theme="1"/>
        <rFont val="Times New Roman"/>
        <family val="2"/>
        <charset val="204"/>
      </rPr>
      <t xml:space="preserve">Реализация подмероприятия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согласно заключенным контрактам и договорам . Планируемый срок освоения средств до конца 2016 года.;
</t>
    </r>
    <r>
      <rPr>
        <u/>
        <sz val="20"/>
        <color theme="1"/>
        <rFont val="Times New Roman"/>
        <family val="1"/>
        <charset val="204"/>
      </rPr>
      <t>ДКМПиС:</t>
    </r>
    <r>
      <rPr>
        <sz val="20"/>
        <color theme="1"/>
        <rFont val="Times New Roman"/>
        <family val="1"/>
        <charset val="204"/>
      </rPr>
      <t xml:space="preserve">
Реализация подпрограмм "Обеспечение прав граждан на доступ к культурным ценностям и информации" и "Укрепление единого культурного пространства" осуществляется в плановом режиме согласно заключенным контрактам и договорам. Планируемый срок освоения средств до конца 2016 года.;
</t>
    </r>
    <r>
      <rPr>
        <u/>
        <sz val="20"/>
        <color theme="1"/>
        <rFont val="Times New Roman"/>
        <family val="1"/>
        <charset val="204"/>
      </rPr>
      <t>ДАиГ:</t>
    </r>
    <r>
      <rPr>
        <sz val="20"/>
        <color theme="1"/>
        <rFont val="Times New Roman"/>
        <family val="1"/>
        <charset val="204"/>
      </rPr>
      <t xml:space="preserve">
Работы выполняются в соответствии с заключенным муниципальным контрактом с ООО "Сибвитосервис" №18/2014 от 04.10.14 г.  Сумма по контракту - 323 245,6 тыс. руб.   Срок выполнения работ - 15.06.2016 г. Заключены 15 муниципальных контрактов для комплектации и ввода в эксплуатацию объекта(поставка бытовой техники, мебели, сейфа, электроники, звукового оборудования, металлической мебели, компьютеров и оргтехники, демонстрационного оборудования, аудиторной доски, хозяйственных изделий,  технологического оборудования,  инвентаря, мебели, технологического оборудования) на сумму 37 226,5 тыс.руб. 
Готовность объекта - 90,4 %. Ориентировочная дата ввода объекта в эксплуатацию - август 2016 года. </t>
    </r>
  </si>
  <si>
    <r>
      <rPr>
        <u/>
        <sz val="20"/>
        <color theme="1"/>
        <rFont val="Times New Roman"/>
        <family val="1"/>
        <charset val="204"/>
      </rPr>
      <t>ДКМПиС:</t>
    </r>
    <r>
      <rPr>
        <sz val="20"/>
        <color theme="1"/>
        <rFont val="Times New Roman"/>
        <family val="2"/>
        <charset val="204"/>
      </rPr>
      <t xml:space="preserve">
Реализация мероприятий  по проведению смотров-конкурсов в сфере физической культуры и спорта (приобретение спортивного инветаря, экиперовки, спортивного оборудования)  осуществляется в плановом режиме согласно заключенным соглашению. Планируемый срок освоения средств до конца 2016 года. 
</t>
    </r>
    <r>
      <rPr>
        <u/>
        <sz val="20"/>
        <color theme="1"/>
        <rFont val="Times New Roman"/>
        <family val="1"/>
        <charset val="204"/>
      </rPr>
      <t>ДАиГ:</t>
    </r>
    <r>
      <rPr>
        <sz val="20"/>
        <color theme="1"/>
        <rFont val="Times New Roman"/>
        <family val="2"/>
        <charset val="204"/>
      </rPr>
      <t xml:space="preserve">
Получено положительное заключение по проверке достоверности определения сметной стоимости объекта №86-1-6-0010-16 от 16.02.2016г.
Средств для завершения строительства объекта недостаточно. Потребность составляет 150 494,9 тыс.руб. Обращение в Департамент физической культуры и спорта ХМАО-Югры направлено 17.03.2016 года. Получен ответ  №19-исх-1575 от 20.04.2016 о возможности выделения дополнительных средств только в случае перераспределения либо дополнительного выделения средств на реализацию госпрограммы. 
Заключен муниципальный контракт № 37/2016 от 14.06.2016 г.  на выполнение работ по завершению строительства объекта. Сумма по контракту 415 049,7 тыс.руб. Согласно графику оплаты, лимит 2016 года - 269 419,1 тыс.руб., лимит 2017 года - 145 630,6 тыс.руб. Срок выполнения работ по 09.12.2016 года.                                                                                                                                             
Готовность объекта - 57%. 
Ориентировочная дата ввода объекта в эксплуатацию -  декабрь 2016 года.</t>
    </r>
  </si>
  <si>
    <r>
      <t xml:space="preserve">АГ:
Реализация мероприятий "Обеспечение продовольственной безопасности" осуществляется в плановом режиме согласно заключенных договоров на обеспечение отдела статистики города Сургута транспортными средствами и услугами связи, в рамках организации проведения Всероссийской сельскохозяйственной переписи, согласно предоставленного графика. Расходы запланированы на 3 квартал 2016 год.                                                                                           </t>
    </r>
    <r>
      <rPr>
        <u/>
        <sz val="20"/>
        <color theme="1"/>
        <rFont val="Times New Roman"/>
        <family val="1"/>
        <charset val="204"/>
      </rPr>
      <t>ДГХ:</t>
    </r>
    <r>
      <rPr>
        <sz val="20"/>
        <color theme="1"/>
        <rFont val="Times New Roman"/>
        <family val="2"/>
        <charset val="204"/>
      </rPr>
      <t xml:space="preserve"> 
Планируется отловить и утилизировать 2 200 безнадзорных животных. По состоянию на 01.07.2016 утилизировано 700 безнадзорных животных. 
КУИ:
За период январь-июнь отсутствуют заявки на перечисление субсидий на поддержку сельскохозяйственного производства (рыбохозяйственного комплекса, развития малых форм хозяйствования)</t>
    </r>
  </si>
  <si>
    <t>Заключены муниципальные контракты на приобретение: 24 кв.- 2-х комнатных (84737,9529 руб., 1611,1 м2); 42 кв. - 1 комнатных (95111,1288 руб, 1807,8 м2). Произведена оплата 30% стоимости жилых помещений за счет средств окружного бюджета. Доля местного бюджета будет оплачена 1.07.2016г. 
Акцион на приобретение 2-х комнатной квартиры, 50м2, не состоялся ввиду отсутствия заявок. Заявка на проведение аукциона будет размещена повторно в июле 2016 г.                                                                                         
Размещение заявки на приобретение жилых помещений на дополнительно выделенные средства планируется в июле 2016 года.</t>
  </si>
  <si>
    <t xml:space="preserve">Оплата субсидий участникам программы будет производится по мере подготовки департаментом городского хозяйства Постановлений о предоставлении субсидий на приобретение жилого помещения в собственность.                                                                                                             
Аукцион по приобретению жилого помещения для участника программы состоялся 13.05.2016 года. Заключен МК №11/2016 от 31.05.2016г (1 комн.кв, 43,1 м2, 2268,3099 тыс.руб). </t>
  </si>
  <si>
    <t>Работы выполняются согласно заключенного муниципального контракта на выполнение работ по строительству объекта с ООО "Строительная компания  СОК" №03/2015 от 19.05.2015. Сумма по контракту - 423 186,003 тыс.руб, на 2015 год - 82 829,0 тыс.руб. Срок выполнения работ - 30 сентября 2016 года. 
Готовность объекта 34,4 %. 
В связи с  необходимостью корректировки видов работ, предусмотренных протоколом договорной цены необходимо оформление дополнительного соглашения к МК № 03/2015 от 19.05.2015 г. Ведется работа по оформлению дополнительного соглашения. Ориентировочная дата ввода объекта в эксплуатацию - ноябрь 2016 года.</t>
  </si>
  <si>
    <r>
      <t xml:space="preserve">Заключено соглашение от 11.02.2016  № АС-4с о софинансировании и реализации мероприятий государственной программы между Департаментом внутренней политики ХМАО-Югры и Администрацией города. </t>
    </r>
    <r>
      <rPr>
        <sz val="20"/>
        <rFont val="Times New Roman"/>
        <family val="1"/>
        <charset val="204"/>
      </rPr>
      <t xml:space="preserve">Заключен контракт на приобретение форменной одежды. Планируемый срок освоения средств до конца 2016 года.      </t>
    </r>
    <r>
      <rPr>
        <sz val="20"/>
        <rFont val="Times New Roman"/>
        <family val="2"/>
        <charset val="204"/>
      </rPr>
      <t xml:space="preserve">         
     В рамках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заключены контракты на техническое обслуживание АПК "Безопасный город" и копировально-множительной техники и конвертального оборудования АПК "Безопасный город". Планируемый срок освоения средств до конца 2016 года.               
ДГХ: Реализация мероприятия в рамках программы по содержанию объектов социальной сферы (ЗАГС) осуществляется в соответствии с условиями заключённых договоров.
         Средства 1 100 тыс. руб., поступили в бюджет города в соответствии со справками Департамента финансов ХМАО-Югры  от 20.05.2016  № 230/05/16 на основании приказа Департамента образования и молодежной политики ХМАО-Югры от 18.05.2016 № 784 "Об итогах конкурса по вопросам развития казачьих кадетских классов с казачьим компонентом на базе мунциипальных общеобразовательных организаций в ХМАО-Югре".Планируемый срок освоения средств до конца 2016 года.               
</t>
    </r>
  </si>
  <si>
    <r>
      <rPr>
        <u/>
        <sz val="20"/>
        <color theme="1"/>
        <rFont val="Times New Roman"/>
        <family val="1"/>
        <charset val="204"/>
      </rPr>
      <t>ДГХ:</t>
    </r>
    <r>
      <rPr>
        <sz val="20"/>
        <color theme="1"/>
        <rFont val="Times New Roman"/>
        <family val="2"/>
        <charset val="204"/>
      </rPr>
      <t xml:space="preserve"> Ожидаемое неисполнение - 1 117,19 тыс.руб. - экономия по факту выполненных работ по подпрограмме "Повышение энергоэффективности в отраслях экономики". 
За счет средств бюджета МО запланировано выполнить:
-  капитальный ремонт 2 объектов социальной сферы - МБОУ СОШ №12, МБОУ СОШ  №19;
- замену 445 светильников в трех объектах дошкольного образования, 268 светильников в двух объектах общего образования;
- энергетическое обледование МБДОУ №31 "Снегирек";
-  модернизацию системы теплоснабжения по объекту: Гаражи, ул. 30 лет Победы, 19Б.
</t>
    </r>
    <r>
      <rPr>
        <u/>
        <sz val="20"/>
        <color theme="1"/>
        <rFont val="Times New Roman"/>
        <family val="1"/>
        <charset val="204"/>
      </rPr>
      <t>ДАиГ:</t>
    </r>
    <r>
      <rPr>
        <sz val="20"/>
        <color theme="1"/>
        <rFont val="Times New Roman"/>
        <family val="2"/>
        <charset val="204"/>
      </rPr>
      <t xml:space="preserve">
Произведена оплата по контрактам заключенным в 2015 году за счет средств фонда реформирования ЖКХ. (Соглашение № 46-15 от 10 июля 2015 A3:M29о предоставлении субсидии  бюджету муниципального образования город Сургут на выполнение мероприятий по переселению граждан из аварийного жилищного фонда на 2015-2016 год)</t>
    </r>
  </si>
  <si>
    <r>
      <t>Заключен</t>
    </r>
    <r>
      <rPr>
        <sz val="20"/>
        <rFont val="Times New Roman"/>
        <family val="1"/>
        <charset val="204"/>
      </rPr>
      <t xml:space="preserve"> договор от 25.03.2016 № 42 о предоставлении субсидии из бюджета ХМАО - Югры бюджетам муниципальных образований ХМАО - Югры на реализацию муниципальной программы развития малого и среднего предпринимательства между Департаментом экономического развития ХМАО-Югры и Администрацией города. По состоянию на 01.07.2016 в рамках исполнения контракта на оказание услуг по организации ярмарок </t>
    </r>
    <r>
      <rPr>
        <sz val="20"/>
        <color theme="1"/>
        <rFont val="Times New Roman"/>
        <family val="2"/>
        <charset val="204"/>
      </rPr>
      <t>на территории города Сургута с участием субъектов малого и среднего предпринимательства состоялись 2 ярмарки с участием местных товаропроизводителей. В рамках мероприятия "Финансовая поддержка" поддержка в форме субсидий оказана 15 субъектам малого и среднего предпринимательства. Ведется работа по информированию субъектов малого и среднего предпринимательства о формах поддержки. Исполнение мероприятий программы запланировано на 3 квартал 2016 года. 
Заключено соглашение от 09.10.2015 № 101  о предоставлении субсидии из бюджета ХМАО - Югры бюджетам муниципальных образований ХМАО - Югры на развитие многофункциональных центров предоставления государственных и муниципальных услуг между Департаментом экономического развития ХМАО-Югры и муниципальным образованием  (действует до исполнения всех взятых обязательств). 
1) В 1 полугодие 2016 года заключены и исполнены 14 договоров (контрактов) на приобретение программно-аппаратного комплекса "Универсальный криптошлюз и межсетевой экран", средств видеонаблюдения, серверного оборудования, поставку и внедрение системы управления электронной очередью для нужд МКУ "МФЦ г. Сургута", мебели для комплектации объекта "Многофункциональный центр предоставления государственных и муниципальных услуг города Сургута", на выполнение работ по ремонту нежилого помещения под нужды МФЦ г. Сургута, на поставку многофункционального устройства, поставку детекторов, на поставку технических средств.
2) В 3 квартале 2016 года ожидается исполнить средства по заключенным контрактам на поставку технических средств, серверного оборудования, переферийного оборудования и копировально-множительной техники.
3) Готовятся заявки на размещение в плане-графике размещения заказов на поставку оборудования, мебели, программного обеспечения и проведение ремонтных работ в офисе в ТРЦ Сити Молло с исполнением до конца 2016 года.
Заключено соглашение от 28.12.2015 № 151  о предоставлении субсидии из бюджета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Департаментом экономического развития ХМАО-Югры и муниципальным образованием.</t>
    </r>
  </si>
  <si>
    <r>
      <rPr>
        <u/>
        <sz val="20"/>
        <color theme="1"/>
        <rFont val="Times New Roman"/>
        <family val="1"/>
        <charset val="204"/>
      </rPr>
      <t>ДГХ:</t>
    </r>
    <r>
      <rPr>
        <sz val="20"/>
        <color theme="1"/>
        <rFont val="Times New Roman"/>
        <family val="2"/>
        <charset val="204"/>
      </rPr>
      <t xml:space="preserve"> Исполнение мероприятия осуществляется в соответствии с условиями заключённых контрактов, расходы запланированы на 3 квартал 2016. Планируется выполнить ремонт дорог общей площадью 113,489 тыс.кв.м.
</t>
    </r>
    <r>
      <rPr>
        <u/>
        <sz val="20"/>
        <color theme="1"/>
        <rFont val="Times New Roman"/>
        <family val="1"/>
        <charset val="204"/>
      </rPr>
      <t>ДАиГ:</t>
    </r>
    <r>
      <rPr>
        <sz val="20"/>
        <color theme="1"/>
        <rFont val="Times New Roman"/>
        <family val="2"/>
        <charset val="204"/>
      </rPr>
      <t xml:space="preserve">
Работы выполняются в соответствии с заключенным муниципальным контрактом №31/2015 от 14.09.2015г. с АО «АВТОДОРСТРОЙ» на сумму 586 738,6 тыс. руб.                                                                                                    
Готовность объекта - 51,5 %.                                                                             
В июне 2016 года приняты работы  на сумму 55 260,8 тыс.руб.,  средства  бюджета автономного округа в размере 52 497,8 тыс.руб.  будут оплачены в июле 2016 г.</t>
    </r>
  </si>
  <si>
    <r>
      <t xml:space="preserve">В рамках реализации мероприятия "Предоставление дополнительных гарантий и дополнительных мер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(УБУиО, ДГХ) по состоянию на 01.07.2016 произведена выплата вознаграждения 188 приемным родителям за январь-май 2016 года; оплата расходов на выполнение работ по проверке смет на ремонт жилых помещений для детей сирот и детей, оставшихся без попечения родителей по адресам: пр.Комсомольский,44/2 кв.59, ул.Университетская д.25/1 кв.3. 
Реализация мероприятия осуществляется в плановом режиме согласно заключенным контрактам и договорам . Планируемый срок освоения средств до конца 2016 года.                                                       
</t>
    </r>
    <r>
      <rPr>
        <u/>
        <sz val="20"/>
        <color theme="1"/>
        <rFont val="Times New Roman"/>
        <family val="1"/>
        <charset val="204"/>
      </rPr>
      <t>ДГХ:</t>
    </r>
    <r>
      <rPr>
        <sz val="20"/>
        <color theme="1"/>
        <rFont val="Times New Roman"/>
        <family val="2"/>
        <charset val="204"/>
      </rPr>
      <t xml:space="preserve"> В 2016 году планируется выполнить ремонт в 5 квартирах. Для ремонта переданы 2 квартиры:
1) пр.Комсомольский 44/2 кв.59:  05.05.16 размещен заказ на сумму 284,02 тыс.руб., аукцион состоялся 30.05.15, заключен муниципальный контракт от 18.06.2018 №29-ГХ с ООО "ОМС" на сумму 193,13 тыс.руб. со сроком выполнения - 18.06.16-06.08.16.
2) ул. Университетская 25/1 кв.3: дефектная ведомость согласована в комитете по опеке и попечительству, локально-сметные расчеты проверены в Стройцене, готовится техническое задание, размещение заказа на сумму 426, 05 тыс.руб. - июнь 2016, срок исполнения контракта - сентябрь 2016. 
3 квартиры (отсутствует перечень) на сумму 2 227,84 тыс.руб.: размещение заказа - август 2016, срок исполнения контракта - декабрь 2016.  
ДАиГ:
Аукцион на приобретение квартир для детей сирот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t>
    </r>
  </si>
  <si>
    <r>
      <t xml:space="preserve">АГ: Реализация мероприятий осуществляется в плановом режиме согласно заключенным контрактам и договорам . Планируемый срок освоения средств до конца 2016 года.                                         </t>
    </r>
    <r>
      <rPr>
        <u/>
        <sz val="20"/>
        <rFont val="Times New Roman"/>
        <family val="1"/>
        <charset val="204"/>
      </rPr>
      <t>УПиЭ:</t>
    </r>
    <r>
      <rPr>
        <sz val="20"/>
        <rFont val="Times New Roman"/>
        <family val="2"/>
        <charset val="204"/>
      </rPr>
      <t xml:space="preserve"> Денежные средства в сумме 47,72 тыс. руб. (по мероприятию - организация временного трудоустройства безработных граждан, испытывающих трудности в поиске работы) будут освоены в течении 2016 года.                                                                                                        Денежные средства в сумме 50,91 тыс.руб.(по мероприятию - организация проведения оплачиваемых общественных работ для не занятых трудовой деятельностью и безработных граждан) -  с КУ ХМАО-Югры "Сургутский центр занятости населения" заключен договор от 14.06.2016 № 171/01 о совместной деятельности по организации временного трудоустройства граждан в количестве 2 человек по профессии рабочий зеленого хозяйства с периодом участия - 2 месяца. Денежные средства будут освоены в течении 2016 года.
</t>
    </r>
    <r>
      <rPr>
        <u/>
        <sz val="20"/>
        <rFont val="Times New Roman"/>
        <family val="1"/>
        <charset val="204"/>
      </rPr>
      <t>ДО:</t>
    </r>
    <r>
      <rPr>
        <sz val="20"/>
        <rFont val="Times New Roman"/>
        <family val="1"/>
        <charset val="204"/>
      </rPr>
      <t xml:space="preserve">
Реализация мероприятия "Организация стажировки выпукников профессиональных образовательных организаций и организаций высшего образования в возрасте до 25 лет" осуществляется в плановом режиме согласно заключенным  договорам. КУ ХМАО-Югры "Сургутский центр занятости" проводит работу по поиску кандидатов. Планируемый срок освоения средств до конца 2016 года. 
</t>
    </r>
    <r>
      <rPr>
        <u/>
        <sz val="20"/>
        <rFont val="Times New Roman"/>
        <family val="1"/>
        <charset val="204"/>
      </rPr>
      <t xml:space="preserve">ДКМПиС, 
</t>
    </r>
    <r>
      <rPr>
        <sz val="20"/>
        <rFont val="Times New Roman"/>
        <family val="1"/>
        <charset val="204"/>
      </rPr>
      <t xml:space="preserve">Реализация мероприятия "Содействие в трудоустройстве незанятых инвалидов на оборудованные (оснащенные) для них рабочие места" осуществляется в плановом режиме согласно заключенному договору от 30.06.2016.  Планируемый срок освоения средств до конца 2016 года. </t>
    </r>
  </si>
  <si>
    <t xml:space="preserve">Средства предусмотрены на выплату субсидии и приобретение жилого помещения для участников программы. Субсидии выплачиваются по мере подготовки Управлением учета и распределения жилья Постановлений о предоставлении субсидии на приобретение жилого помещения.   
    2 ветеранам ВОВ предоставлена единовременная денежная выплата на приобретение жилого помещения самостоятельно, 1 ветерану ВОВ приобретено и предоставлено жилое помещение на условиях договора социального найма. </t>
  </si>
  <si>
    <t>Подпрограмма III "Содействие развитию жилищного строительства"</t>
  </si>
  <si>
    <t>Подпрограмма  V "Обеспечение мерами государственной поддержки по улучшению жилищных условий отдельных категорий граждан"</t>
  </si>
  <si>
    <r>
      <t xml:space="preserve">Финансовые затраты на реализацию программы в </t>
    </r>
    <r>
      <rPr>
        <u/>
        <sz val="18"/>
        <color theme="1"/>
        <rFont val="Times New Roman"/>
        <family val="2"/>
        <charset val="204"/>
      </rPr>
      <t>2016</t>
    </r>
    <r>
      <rPr>
        <sz val="18"/>
        <color theme="1"/>
        <rFont val="Times New Roman"/>
        <family val="2"/>
        <charset val="204"/>
      </rPr>
      <t xml:space="preserve"> году  </t>
    </r>
  </si>
  <si>
    <t>Пояснения, ожидаемые результаты, планируемые сроки выполнения работ, оказания услуг, причины неисполнения и так далее</t>
  </si>
  <si>
    <t xml:space="preserve">                                                                                                                                                                             </t>
  </si>
  <si>
    <t xml:space="preserve">Для формирования фонда социального использования 25.12.2015  было объявлено два  электронных аукциона на приобретение жилых помещений в многоквартирном жилом доме, общей площадью 15 046,40 кв.м. и 7 460,80 кв.м.
 По итогам электронных аукционов 11.02.2016 заключены контракты с ООО "УК"Центр Менеджмент" №1/2016 на сумму 392 654, 44 тыс.р., и контракт №2/2016 на сумму 791 876, 99 тыс.р., сроком действия до 30.03.2017г. По условиям контрактов произведен авансовый платеж в размере 78% стоимости контрактов.   Дополнительная потребность составляет 260 млн. рублей, в том числе средства окружного бюджета 235 млн. рублей. Обращение в ДФ ХМАО направлено.                           </t>
  </si>
  <si>
    <t xml:space="preserve">Отсутствует потребность в данных средствах по причине отсутствия лиц, уволенных с военной службы, нуждающихся в улучшении жилищных условий. Средства зарезервированы в бюджете города до определения исполнителя данного меропрятия </t>
  </si>
  <si>
    <t xml:space="preserve">бюджет ХМАО - Югры </t>
  </si>
  <si>
    <t xml:space="preserve">бюджет ХМАО-Югры </t>
  </si>
  <si>
    <t xml:space="preserve">федеральный бюджет </t>
  </si>
  <si>
    <t xml:space="preserve">Оплата субсидий участникам программы будет производиться по мере подготовки департаментом городского хозяйства Постановлений о предоставлении субсидий на приобретение жилого помещения в собственность.                                                                                                             
Аукцион по приобретению жилого помещения для участника программы состоялся 13.05.2016 года. Заключен МК №11/2016 от 31.05.2016г (1 комн.кв, 43,1 м2, 2 268,31 тыс.руб). 
</t>
  </si>
  <si>
    <t xml:space="preserve">Заключены договоры на приобретение конвертов и бумаги для направления участникам программы извещений. Бюджетные ассигнования будут использованы в полном объеме до конца 2016 года. </t>
  </si>
  <si>
    <r>
      <t>Государственная программа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2016-2020 годах»</t>
    </r>
    <r>
      <rPr>
        <sz val="20"/>
        <color theme="1"/>
        <rFont val="Times New Roman"/>
        <family val="1"/>
        <charset val="204"/>
      </rPr>
      <t xml:space="preserve"> 
(1. Субвенции на поддержку малых форм хозяйствования; 
 2. Субвенции на повышение эффективности использования и развитие ресурсного потенциала рыбохозяйственного комплекса;
 3. субвенции по поддержку животноводства, переработку и реализацию продукции животноводства;
 4.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5. Субвенции на проведение Всероссийской сельскохозяйственной переписи в 2016 году).</t>
    </r>
  </si>
  <si>
    <r>
      <t xml:space="preserve">Государственная программа "Обеспечение доступным и комфортным жильем жителей Ханты-Мансийского автономного округа - Югры в 2016-2020 годах" 
</t>
    </r>
    <r>
      <rPr>
        <sz val="18"/>
        <color theme="1"/>
        <rFont val="Times New Roman"/>
        <family val="1"/>
        <charset val="204"/>
      </rPr>
      <t xml:space="preserve"> </t>
    </r>
  </si>
  <si>
    <r>
      <t xml:space="preserve">Государственная программа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2016-2020 годы» 
</t>
    </r>
    <r>
      <rPr>
        <sz val="20"/>
        <color theme="1"/>
        <rFont val="Times New Roman"/>
        <family val="1"/>
        <charset val="204"/>
      </rPr>
      <t>(1.Субвенции на возмещение недополученных доходов организациям, осуществляющим реализацию  сжиженного газа  населению по социально-ориентированным розничным ценам; 
 2. Субсидии на реконструкцию, расширение, модернизацию, строительство и капитальный ремонт объектов коммунального комплекса;
 3.Субсидия на возмещение части затрат на уплату процентов по привлекаемым заемным средствам на оплату задолженности за энергоресурсы; о привлекаемым заемным средствам на реконструкцию, расширение, модернизацию, строительство, капитальный ремонт объектов коммунального комплекса;
4.Субсидии на обеспечение мероприятий по переселению граждан из аварийного жилищного фонда).</t>
    </r>
  </si>
  <si>
    <r>
      <t xml:space="preserve">Государственная программа "Развитие здравоохранения  на 2016-2020 годы" 
</t>
    </r>
    <r>
      <rPr>
        <sz val="20"/>
        <color theme="1"/>
        <rFont val="Times New Roman"/>
        <family val="1"/>
        <charset val="204"/>
      </rPr>
      <t>(Субсидия на строительство и реконструкцию объектов здравоохранения)</t>
    </r>
  </si>
  <si>
    <r>
      <t xml:space="preserve">Государственная программа Ханты-Мансийского автономного округа – Югры «Социальная поддержка жителей Ханты-Мансийского автономного округа – Югры на 2016-2020 годы» 
</t>
    </r>
    <r>
      <rPr>
        <sz val="20"/>
        <color theme="1"/>
        <rFont val="Times New Roman"/>
        <family val="1"/>
        <charset val="204"/>
      </rPr>
      <t>(1.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полномочий по образованию и организации деятельности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организацию отдыха и оздоровления детей;
  6. Субвенции на обеспечение дополнительных гарантий прав на жилое помещение детей-сирот и детей, оставшихся без попечения родител
ей, лиц из числа детей-сирот и детей, оставшихся без попечения родителей; 7. Субсидии на оплату стоимости питания детей школьного возраста в оздоровительных лагерях с дневным пребыванием детей).</t>
    </r>
  </si>
  <si>
    <r>
      <t>Государственная программа "Развитие культуры и туризма в Ханты-Мансийском автономном округе - Югре на 2016-2020 годы"</t>
    </r>
    <r>
      <rPr>
        <sz val="20"/>
        <color theme="1"/>
        <rFont val="Times New Roman"/>
        <family val="1"/>
        <charset val="204"/>
      </rPr>
      <t xml:space="preserve"> 
(1. Субвенции на осуществление полномочий по хранению, комплектованию, учету и использованию архивных документов; 
 2. Субсидия на модернизацию общедоступных муниципальных библиотек;   3. Субсидии на обновление материально-технической базы муниципальных детских школ искусств (по видам искусств) в сфере культуры; 
 4. Субсидии на строительство объектов, предназначенных для размещения муниципальных учреждений культуры; 
 5. Иные межбюджетные трансферты  на реализацию мероприятий по стимулированию культурного разнообразия в автономном округе; 
 6.  Иные межбюджетные трансферты  на комплектование книжных фондов библиотек.)</t>
    </r>
  </si>
  <si>
    <r>
      <t xml:space="preserve">Государственная программа "Развитие физической культуры и спорта в Ханты-Мансийском автономном округе — Югре на 2016 — 2020 годы"
 </t>
    </r>
    <r>
      <rPr>
        <sz val="20"/>
        <color theme="1"/>
        <rFont val="Times New Roman"/>
        <family val="1"/>
        <charset val="204"/>
      </rPr>
      <t>(1. Субсидии на развитие материально-технической базы муниципальных учреждений спорта; 
 2. иные межбюджетные трансферты на реализацию мероприятий по проведению смотров-конкурсов в сфере физической культуры и спорта)</t>
    </r>
  </si>
  <si>
    <r>
      <t xml:space="preserve">Государственная программа Ханты-Мансийского автономного округа – Югры «Содействие занятости населения в Ханты-Мансийском автономном округе – Югре на 2016-2020 годы» 
</t>
    </r>
    <r>
      <rPr>
        <sz val="20"/>
        <color theme="1"/>
        <rFont val="Times New Roman"/>
        <family val="1"/>
        <charset val="204"/>
      </rPr>
      <t>(1.Субвенции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t>
    </r>
  </si>
  <si>
    <r>
      <t xml:space="preserve">Государственная программа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обеспечение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2016-2020 годах» 
</t>
    </r>
    <r>
      <rPr>
        <sz val="20"/>
        <rFont val="Times New Roman"/>
        <family val="1"/>
        <charset val="204"/>
      </rPr>
      <t>(1. Субвенции  на государственную регистрацию актов гражданского состояния;
 2. Субвенции на осуществление полномочий по созданию и обеспечению деятельности административных комиссий;
 3. Субсидии на создание условий для деятельности народных дружин;
 4. Субсидии на размещение систем видеообзора, модернизацию, обеспечение функционирования систем видеонаблюдения;
 5. Иные межбюджетные трансферты  на реализацию мероприятий по поддержке российского казачества;
6.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r>
  </si>
  <si>
    <r>
      <t xml:space="preserve">Государственная программа Ханты-Мансийского автономного округа – Югры «Социально-экономическое развитие, инвестиции и инновации Ханты-Мансийского автономного округа – Югры на 2016-2020 годы» 
</t>
    </r>
    <r>
      <rPr>
        <sz val="20"/>
        <color theme="1"/>
        <rFont val="Times New Roman"/>
        <family val="1"/>
        <charset val="204"/>
      </rPr>
      <t>(1. Субсидии на государственную поддержку малого и среднего предпринимательства; 
2. Субсидии на предоставление государственных услуг в многофункциональных центрах предоставления государственных и муниципальных услуг; 
3. Субсидии на развитие многофункциональных центров предоставления государственных и муниципальных услуг).</t>
    </r>
  </si>
  <si>
    <r>
      <t xml:space="preserve">Государственная программа "Развитие транспортной системы Ханты-Мансийского автономного округа — Югры на 2016-2020 годы 
</t>
    </r>
    <r>
      <rPr>
        <sz val="20"/>
        <color theme="1"/>
        <rFont val="Times New Roman"/>
        <family val="1"/>
        <charset val="204"/>
      </rPr>
      <t>(Субсидии на строительство (реконструкцию), капитальный ремонт и ремонт автомобильных дорог общего пользования местного значения)</t>
    </r>
  </si>
  <si>
    <r>
      <t>Государственная программа Ханты-Мансийского автономного округа – Югры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2016-2020 годы»</t>
    </r>
    <r>
      <rPr>
        <sz val="20"/>
        <color theme="1"/>
        <rFont val="Times New Roman"/>
        <family val="1"/>
        <charset val="204"/>
      </rPr>
      <t xml:space="preserve"> 
(1.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2. Субсидии на развитие общественной инфраструктуры и реализацию приоритетных направлений развития).</t>
    </r>
  </si>
  <si>
    <r>
      <t xml:space="preserve">Государственная программа Ханты-Мансийского автономного округа – Югры «Развитие образования в Ханты-Мансийском автономном округе – Югре на 2016-2020 годы» 
</t>
    </r>
    <r>
      <rPr>
        <sz val="20"/>
        <color theme="1"/>
        <rFont val="Times New Roman"/>
        <family val="1"/>
        <charset val="204"/>
      </rPr>
      <t>(1. Субвенции на реализацию основных общеобразовательных программ; 
 2. Субвенции на реализацию дошкольными образовательными организациями основных общеобразовательных программ дошкольного образования; 
 3. Субвенции  на  социальную  поддержку отдельных категорий обучающихся  в муниципальных  и частных общеобразовательных организациях;
 4. Субвенции на выплату компенсации части родительской платы за присмотр и уход за детьми в образовательных организациях дошкольного образования; 
 5. Субвенции на информационное обеспечение общеобразовательных организаций в части доступа к образовательным ресурсам сети "Интернет";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дошкольного образования; 
 8. Иные межбюджетные трансферты на организацию и проведение ЕГЭ и на реализацию проекта, признанного  победителем конкурсного отбора образовательных организаций, имеющих статус региональных инновационных площадок).</t>
    </r>
  </si>
  <si>
    <t>на 01.08.2016</t>
  </si>
  <si>
    <r>
      <rPr>
        <u/>
        <sz val="20"/>
        <color theme="1"/>
        <rFont val="Times New Roman"/>
        <family val="1"/>
        <charset val="204"/>
      </rPr>
      <t>ДГХ:</t>
    </r>
    <r>
      <rPr>
        <sz val="20"/>
        <color theme="1"/>
        <rFont val="Times New Roman"/>
        <family val="2"/>
        <charset val="204"/>
      </rPr>
      <t xml:space="preserve"> Ожидаемое неисполнение - 1 117,19 тыс.руб. - экономия по факту выполненных работ по подпрограмме "Повышение энергоэффективности в отраслях экономики". 
За счет средств бюджета МО запланировано выполнить:
-  капитальный ремонт 2 объектов социальной сферы - МБОУ СОШ №12, МБОУ СОШ  №19;
- замену 445 светильников в трех объектах дошкольного образования, 268 светильников в двух объектах общего образования;
- энергетическое обледование МБДОУ №44 "Сибирячек", МБОУ ДОД ЦДНТГ "Информатика";
-  модернизацию системы теплоснабжения по объекту: Гаражи, ул. 30 лет Победы, 19Б.
</t>
    </r>
    <r>
      <rPr>
        <u/>
        <sz val="20"/>
        <color theme="1"/>
        <rFont val="Times New Roman"/>
        <family val="1"/>
        <charset val="204"/>
      </rPr>
      <t>ДАиГ:</t>
    </r>
    <r>
      <rPr>
        <sz val="20"/>
        <color theme="1"/>
        <rFont val="Times New Roman"/>
        <family val="2"/>
        <charset val="204"/>
      </rPr>
      <t xml:space="preserve">
Произведена оплата по контрактам заключенным в 2015 году, за счет средств фонда реформирования ЖКХ, на приобретение жилых помещений, в целях выполнения мероприятий по переселению граждан из аварийного жилищного фонда </t>
    </r>
  </si>
  <si>
    <t>Залецкая</t>
  </si>
  <si>
    <t>Крыжановская, Корунова</t>
  </si>
  <si>
    <t xml:space="preserve">По состоянию на 01.08.2016 участниками данной подпрограммы числятся 63 молодые семьи.  30 мая 2016 года между Департаментом строительства ХМАО-Югры и Администрацией города Сургута заключено соглашение о финансировании подпрограммы в 2016 году.  Средства федерального и окружного бюджетов  поступили в полном объеме. В текущем году, планируется предоставить социальную выплату на приобретение (строительство) жилья 9 молодым семьям, в том числе 8 молодым семьям по соглашению 2016 года и 1 молодой семье в рамках переходящих обязательств 2015 года. Перечисление средств будет осуществлено после поступления заявки из банка на перечисление субсидии. По состоянию на 01.08.2016 социальная выплата перечислена 2 молодым семьям (участнику 2015 и участнику 2016). </t>
  </si>
  <si>
    <r>
      <rPr>
        <u/>
        <sz val="20"/>
        <rFont val="Times New Roman"/>
        <family val="1"/>
        <charset val="204"/>
      </rPr>
      <t>АГ:</t>
    </r>
    <r>
      <rPr>
        <sz val="20"/>
        <rFont val="Times New Roman"/>
        <family val="2"/>
        <charset val="204"/>
      </rPr>
      <t xml:space="preserve">
Р</t>
    </r>
    <r>
      <rPr>
        <sz val="20"/>
        <rFont val="Times New Roman"/>
        <family val="1"/>
        <charset val="204"/>
      </rPr>
      <t xml:space="preserve">еализация мероприятий "Обеспечение продовольственной безопасности" осуществляется в плановом режиме согласно заключенным договорам на обеспечение отдела статистики города Сургута транспортными средствами и услугами связи, в рамках организации проведения Всероссийской сельскохозяйственной переписи, согласно предоставленному графику. Расходы запланированы на 3 квартал 2016 год.                       </t>
    </r>
    <r>
      <rPr>
        <sz val="20"/>
        <rFont val="Times New Roman"/>
        <family val="2"/>
        <charset val="204"/>
      </rPr>
      <t xml:space="preserve">                                                                   
</t>
    </r>
    <r>
      <rPr>
        <u/>
        <sz val="20"/>
        <rFont val="Times New Roman"/>
        <family val="1"/>
        <charset val="204"/>
      </rPr>
      <t>ДГХ:</t>
    </r>
    <r>
      <rPr>
        <sz val="20"/>
        <rFont val="Times New Roman"/>
        <family val="2"/>
        <charset val="204"/>
      </rPr>
      <t xml:space="preserve"> 
Планируется отловить и утилизировать 2 200 безнадзорных животных. По состоянию на 01.08.2016 утилизировано 901 безнадзорное животное. 
</t>
    </r>
    <r>
      <rPr>
        <u/>
        <sz val="20"/>
        <rFont val="Times New Roman"/>
        <family val="1"/>
        <charset val="204"/>
      </rPr>
      <t>КУИ:</t>
    </r>
    <r>
      <rPr>
        <sz val="20"/>
        <rFont val="Times New Roman"/>
        <family val="2"/>
        <charset val="204"/>
      </rPr>
      <t xml:space="preserve">
За период январь-июнь отсутствуют заявки на перечисление субсидий на поддержку сельскохозяйственного производства (рыбохозяйственного комплекса, развития малых форм хозяйствования)</t>
    </r>
  </si>
  <si>
    <t>Работы по строительству и ремонту дорог осуществляются в соответствии с условиями заключенных контрактов</t>
  </si>
  <si>
    <t xml:space="preserve">В списке граждан, имеющих право на получение субсидии за счет средств федерального бюджета по городу Сургуту на 01.01.2016 состоит 512 человек. Согласно уточненному плану планируется в 2016 году предоставить субсидию 14 льготополучателям, из расчета размера субсидии 759 672 рубля.  Средства федерального бюджета до конца года планируется использовать в полном объёме. Субсидии выплачиваются по мере подготовки управлением учета и распределения жилья Постановлений о предоставлении субсидии на приобретение жилого помещения. По состоянию на 01.08.16 оплачено               1 519,3 тыс.рублей.  </t>
  </si>
  <si>
    <r>
      <rPr>
        <u/>
        <sz val="20"/>
        <color theme="1"/>
        <rFont val="Times New Roman"/>
        <family val="1"/>
        <charset val="204"/>
      </rPr>
      <t xml:space="preserve">АГ: </t>
    </r>
    <r>
      <rPr>
        <sz val="20"/>
        <color theme="1"/>
        <rFont val="Times New Roman"/>
        <family val="2"/>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согласно заключенным контрактам и договорам . Бюджетные ассигнования будут использованы в полном объеме до конца 2016 года.
</t>
    </r>
    <r>
      <rPr>
        <u/>
        <sz val="20"/>
        <color theme="1"/>
        <rFont val="Times New Roman"/>
        <family val="1"/>
        <charset val="204"/>
      </rPr>
      <t>ДКМПиС:</t>
    </r>
    <r>
      <rPr>
        <sz val="20"/>
        <color theme="1"/>
        <rFont val="Times New Roman"/>
        <family val="1"/>
        <charset val="204"/>
      </rPr>
      <t xml:space="preserve">
Реализация подпрограмм "Обеспечение прав граждан на доступ к культурным ценностям и информации" и "Укрепление единого культурного пространства" осуществляется в плановом режиме согласно заключенным контрактам и договорам. Бюджетные ассигнования будут использованы в полном объеме до конца 2016 года.
</t>
    </r>
    <r>
      <rPr>
        <u/>
        <sz val="20"/>
        <color theme="1"/>
        <rFont val="Times New Roman"/>
        <family val="1"/>
        <charset val="204"/>
      </rPr>
      <t>ДАиГ:</t>
    </r>
    <r>
      <rPr>
        <sz val="20"/>
        <color theme="1"/>
        <rFont val="Times New Roman"/>
        <family val="1"/>
        <charset val="204"/>
      </rPr>
      <t xml:space="preserve">
Работы по объекту "Детская школа искусств, мкр. ПИКС" выполняются в соответствии с заключенным муниципальным контрактом с ООО "Сибвитосервис" №18/2014 от 04.10.14 г.  Сумма по контракту - 323 245,6 тыс. руб.  Заключены 16 муниципальных контрактов для комплектации и ввода в эксплуатацию объекта (поставка бытовой техники, мебели, сейфа, электроники, звукового оборудования, металлической мебели, компьютеров и оргтехники, демонстрационного оборудования, аудиторной доски, хозяйственных изделий,  технологического оборудования,  инвентаря, мебели, технологического оборудования) на сумму 37 563,56 тыс.руб. 
Готовность объекта - 94 %. Ориентировочная дата ввода объекта в эксплуатацию - август 2016 года. </t>
    </r>
  </si>
  <si>
    <r>
      <t>1. Заключен</t>
    </r>
    <r>
      <rPr>
        <sz val="20"/>
        <rFont val="Times New Roman"/>
        <family val="1"/>
        <charset val="204"/>
      </rPr>
      <t xml:space="preserve"> договор от 25.03.2016 № 42 о предоставлении субсидии из бюджета ХМАО - Югры бюджетам муниципальных образований ХМАО - Югры на реализацию муниципальной программы развития малого и среднего предпринимательства между Департаментом экономического развития ХМАО-Югры и Администрацией города. По состоянию на 01.08.2016 в рамках исполнения контракта на оказание услуг по организации ярмарок </t>
    </r>
    <r>
      <rPr>
        <sz val="20"/>
        <color theme="1"/>
        <rFont val="Times New Roman"/>
        <family val="2"/>
        <charset val="204"/>
      </rPr>
      <t>на территории города Сургута с участием субъектов малого и среднего предпринимательства состоялись 2 ярмарки с участием местных товаропроизводителей. В рамках мероприятия "Финансовая поддержка" поддержка в форме субсидий оказана 18 субъектам малого и среднего предпринимательства. Оказаны и оплачены услуги по проведению городского конкурса  "Предпринимательль года".  Ведется работа по информированию субъектов малого и среднего предпринимательства о формах поддержки. Исполнение мероприятий программы запланировано на 3 квартал 2016 года. 
2. Заключено соглашение от 09.10.2015 № 101  о предоставлении субсидии из бюджета ХМАО - Югры бюджетам муниципальных образований ХМАО - Югры на развитие многофункциональных центров предоставления государственных и муниципальных услуг между Департаментом экономического развития ХМАО-Югры и муниципальным образованием  (действует до исполнения всех взятых обязательств). 
1) На 01.08.2016 года заключены и исполнены 17 договоров (контрактов) на приобретение программно-аппаратного комплекса "Универсальный криптошлюз и межсетевой экран", средств видеонаблюдения, серверного оборудования, поставку и внедрение системы управления электронной очередью для нужд МКУ "МФЦ г. Сургута", мебели для комплектации объекта "Многофункциональный центр предоставления государственных и муниципальных услуг города Сургута", на выполнение работ по ремонту нежилого помещения под нужды МФЦ г. Сургута, на поставку многофункционального устройства, поставку детекторов, на поставку технических средств, серверного оборудования, переферийного оборудования и копировально-множительной техники;
2) В 3 квартале 2016 года ожидается исполнить средства по заключенным контрактам на поставку технических средств, серверного оборудования, переферийного оборудования и копировально-множительной техники.
3) Готовятся заявки на размещение в плане-графике размещения заказов на поставку мебели, программного обеспечения и проведение ремонтных работ в офисе в ТРЦ Сити Молл с исполнением до конца 2016 года.
3. Заключено соглашение от 28.12.2015 № 151  о предоставлении субсидии из бюджета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Департаментом экономического развития ХМАО-Югры и муниципальным образованием.</t>
    </r>
  </si>
  <si>
    <r>
      <rPr>
        <sz val="20"/>
        <color theme="1"/>
        <rFont val="Times New Roman"/>
        <family val="2"/>
        <charset val="204"/>
      </rPr>
      <t xml:space="preserve">
</t>
    </r>
    <r>
      <rPr>
        <u/>
        <sz val="20"/>
        <rFont val="Times New Roman"/>
        <family val="1"/>
        <charset val="204"/>
      </rPr>
      <t>ДАиГ:</t>
    </r>
    <r>
      <rPr>
        <sz val="20"/>
        <rFont val="Times New Roman"/>
        <family val="1"/>
        <charset val="204"/>
      </rPr>
      <t xml:space="preserve">
По объекту "Спортивный комплекс с плавательным бассейном 50 м в г. Сургуте" получено положительное заключение по проверке достоверности определения сметной стоимости объекта №86-1-6-0010-16 от 16.02.2016г.
Средств для завершения строительства объекта недостаточно. Потребность составляет 150 494,9 тыс.руб. Обращение в Департамент физической культуры и спорта ХМАО-Югры направлено 17.03.2016 года. Получен ответ  №19-исх-1575 от 20.04.2016 о возможности выделения дополнительных средств только в случае перераспределения либо дополнительного выделения средств на реализацию госпрограммы. 
Заключен муниципальный контракт № 37/2016 от 14.06.2016 г.  на выполнение работ по завершению строительства объекта. Сумма по контракту 415 049,7 тыс.руб. Согласно графику оплаты, лимит 2016 года - 269 419,1 тыс.руб., лимит 2017 года - 145 630,6 тыс.руб. Срок выполнения работ по 09.12.2016 года.                                                                                                                                             
Готовность объекта - 57%. 
Ориентировочная дата ввода объекта в эксплуатацию -  декабрь 2016 года.</t>
    </r>
  </si>
  <si>
    <t>Информация о реализации государственных программ Ханты-Мансийского автономного округа - Югры
на территории городского округа город Сургут на 01.08.2016 года</t>
  </si>
  <si>
    <t xml:space="preserve">С целью ввода в эксплуатацию объекта  "Поликлиника "Нефтяник" на 700 пос. в смену в мкр. 37"  заключены муниципальные контракты на приобретение оборудования на сумму - 81 625,2 тыс руб.  с учетом монтажа, наладки и сборки - в период с марта по май. 
Объект не введен в эксплуатацию в установленный срок (декабрь 2015) по причине того, что объект не укомплектован необходимым для ввода в эксплуатацию рентгенологическим оборудованием. Учитывая процедуру размещения муниципальных закупок, ориентировочный срок заключения контракта, срок поставки оборудования,ориентировочный срок ввода объекта в эксплуатацию – сентябрь 2016г.
На июньском заседании Думы города по вопросу внесения изменений в бюджет города принято решение о выделении дополнительно к 162 млн. рублей 44 млн. рублей для оплаты по исполнительному листу дополнительного объема работ, не предусмотренных ПСД. В июле оплата по исполнительному листу произведена в полном объеме.
</t>
  </si>
  <si>
    <t xml:space="preserve">Работы выполняются согласно заключенному муниципальному контракту с ООО "Строительная компания  СОК" №03/2015 от 19.05.2015. Сумма по контракту - 423 186,003 тыс.руб, на 2015 год - 82 829,0 тыс.руб. Срок выполнения работ - 30 сентября 2016 года. 
Готовность объекта 36,1 %. 
В связи с  необходимостью корректировки видов работ, предусмотренных протоколом договорной цены планируется расторжение МК № 03/2015 от 19.05.2015 г. В июле выполнены и оплачены работы на сумму 6 977,56 тыс. руб. </t>
  </si>
  <si>
    <r>
      <rPr>
        <sz val="20"/>
        <rFont val="Times New Roman"/>
        <family val="2"/>
        <charset val="204"/>
      </rPr>
      <t xml:space="preserve">Реализация мероприятий осуществляется в плановом режиме согласно заключенным контрактам и договорам. Бюджетные ассигнования будут использованы в полном объеме до конца 2016 года.                                        
</t>
    </r>
    <r>
      <rPr>
        <u/>
        <sz val="20"/>
        <rFont val="Times New Roman"/>
        <family val="1"/>
        <charset val="204"/>
      </rPr>
      <t/>
    </r>
  </si>
  <si>
    <t>Заключены муниципальные контракты на приобретение: 24 кв.- 2-х комнатных (84 737,95 руб., 1 611,1 м2); 42 кв. - 1 комнатных (95 111,13 руб, 1 807,8 м2). Произведена оплата 30% стоимости жилых помещений.
Акцион на приобретение 2-х комнатной квартиры, 50м2, не состоялся ввиду отсутствия заявок на участие. Заявка на проведение аукциона размещена повторно в июле 2016 г.                                                                                         
Размещены заявки на приобретение жилых помещений на дополнительно выделенные в мае 2016 года средства  в размере 171 426 тыс. руб.</t>
  </si>
  <si>
    <r>
      <t xml:space="preserve">Заключено соглашение от 11.02.2016  № АС-4с о софинансировании и реализации мероприятий государственной программы между Департаментом внутренней политики ХМАО-Югры и Администрацией города. 
</t>
    </r>
    <r>
      <rPr>
        <sz val="20"/>
        <rFont val="Times New Roman"/>
        <family val="1"/>
        <charset val="204"/>
      </rPr>
      <t xml:space="preserve">Заключены договоры на приобретение форменной одежды и удостоверений, выплачено материальное стимулирование народным дружинникам по итогам 1 полугодия 2016 года. Бюджетные ассигнования будут использованы в полном объеме до конца 2016 года.      </t>
    </r>
    <r>
      <rPr>
        <sz val="20"/>
        <rFont val="Times New Roman"/>
        <family val="2"/>
        <charset val="204"/>
      </rPr>
      <t xml:space="preserve">         
В рамках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заключены контракты на техническое обслуживание АПК "Безопасный город", копировально-множительной техники и конвертального оборудования АПК "Безопасный город" и услуги по приему, обработке и доставке заказных писем с уведомлением.  
Реализация мероприятия осуществляется в плановом режиме согласно заключенным контрактам и договорам . Бюджетные ассигнования будут использованы в полном объеме до конца 2016 года.                  
</t>
    </r>
    <r>
      <rPr>
        <u/>
        <sz val="20"/>
        <rFont val="Times New Roman"/>
        <family val="1"/>
        <charset val="204"/>
      </rPr>
      <t>ДГХ</t>
    </r>
    <r>
      <rPr>
        <sz val="20"/>
        <rFont val="Times New Roman"/>
        <family val="2"/>
        <charset val="204"/>
      </rPr>
      <t xml:space="preserve">: Реализация мероприятия в рамках программы по содержанию объектов социальной сферы (ЗАГС) осуществляется в соответствии с условиями заключённых договоров.
ДО:
Средства 1 100 тыс. руб., поступившие в соответствии со справкой Департамента финансов ХМАО-Югры  от 20.05.2016  на развитие казачьих кадетских классов с казачьим компонентом на базе мунциипальных общеобразовательных организаций в ХМАО-Югре  планируется использовать  до конца 2016 года.               
</t>
    </r>
  </si>
  <si>
    <r>
      <rPr>
        <u/>
        <sz val="20"/>
        <color theme="1"/>
        <rFont val="Times New Roman"/>
        <family val="1"/>
        <charset val="204"/>
      </rPr>
      <t xml:space="preserve">ДГХ: </t>
    </r>
    <r>
      <rPr>
        <sz val="20"/>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t>
    </r>
    <r>
      <rPr>
        <u/>
        <sz val="20"/>
        <color theme="1"/>
        <rFont val="Times New Roman"/>
        <family val="1"/>
        <charset val="204"/>
      </rPr>
      <t>Департамент образования</t>
    </r>
    <r>
      <rPr>
        <sz val="20"/>
        <color theme="1"/>
        <rFont val="Times New Roman"/>
        <family val="2"/>
        <charset val="204"/>
      </rPr>
      <t xml:space="preserve">:
Ожидаемый остаток средств в связи с:
1) уменьшением объема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на 2016 год по причине снижения фактических затрат по компенсации части родительской платы по причине уменьшения планируемого размера начисленной родительской платы вследствие уменьшения фактического количества дней посещения детьми образовательных учреждений (отсутствие по причине болезни, закрытие дошкольных групп на карантин); снижения среднего размера родительской платы за присмотр и уход на одного ребёнка в месяц в связи с увеличением численности детей, родительская плата за присмотр и уход за которыми взимается в размере 50% (увеличение численности детей льготных категорий).
2) экономия по результатам заключения договоров на предоставление доступа к сети Интернет по более низкому тарифу, подлежащая возврату в бюджет автономного округа.
</t>
    </r>
    <r>
      <rPr>
        <u/>
        <sz val="20"/>
        <color theme="1"/>
        <rFont val="Times New Roman"/>
        <family val="1"/>
        <charset val="204"/>
      </rPr>
      <t>ДАиГ:</t>
    </r>
    <r>
      <rPr>
        <sz val="20"/>
        <color theme="1"/>
        <rFont val="Times New Roman"/>
        <family val="2"/>
        <charset val="204"/>
      </rPr>
      <t xml:space="preserve"> 
1.В рамках программы предусмотрены средства за счет местного бюджета на следующие объекты:                                                                                                                                                                                                                                              1.1. Приобретение объекта общего образования "Билдинг-сад на 40 мест, ул.Каролинского, 10".  Ввод объекта в эксплуатацию - ориентировочно IV квартал 2016 года. Окружные средства будут доведены после оформления ввода объекта в эксплуатацию. Оплата части средств по выкупу образовательного учреждения будет произведена после оформления объекта в муниципальную собственность.                                                                                               
2.В рамках подпрограммы V "Ресурсное обеспечение системы образования, науки и молодежной политики" средства предусмотрены на следующие объекты:                                                           
2.1. На выполнение ПИР по объекту "Средняя общеобразовательная школа в микрорайоне 32 г.Сургута". Ориентировочный срок заключения контракта - сентябрь-октябрь 2016 года
2.2. На выполнение ПИР по объекту "Средняя общеобразовательная школа в микрорайоне 33 г.Сургута".  Ориентировочный срок заключения контракта - август 2016 года
</t>
    </r>
  </si>
  <si>
    <r>
      <t xml:space="preserve"> </t>
    </r>
    <r>
      <rPr>
        <u/>
        <sz val="20"/>
        <rFont val="Times New Roman"/>
        <family val="2"/>
        <charset val="204"/>
      </rPr>
      <t>УБУиО, ДГХ</t>
    </r>
    <r>
      <rPr>
        <sz val="20"/>
        <rFont val="Times New Roman"/>
        <family val="2"/>
        <charset val="204"/>
      </rPr>
      <t xml:space="preserve"> В рамках реализации мероприятия "Предоставление дополнительных гарантий и дополнительных мер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по состоянию на 01.08.2016 произведена выплата вознаграждения 188 приемным родителям за январь-июнь 2016 года; оплата расходов на выполнение работ по проверке смет на ремонт жилых помещений для детей сирот и детей, оставшихся без попечения родителей по адресам: пр.Комсомольский,44/2 кв.59, ул.Университетская д.25/1 кв.3. 
Реализация мероприятия осуществляется в плановом режиме согласно заключенным контрактам и договорам . Бюджетные ассигнования будут использованы в полном объеме до конца 2016 года.                                                       
В 2016 году планируется выполнить ремонт в 5 квартирах. Для ремонта переданы 2 квартиры:
1) пр.Комсомольский 44/2 кв.59:  05.05.16 размещен заказ на сумму 284,02 тыс.руб., аукцион состоялся 30.05.15, заключен муниципальный контракт от 18.06.2018 №29-ГХ с ООО "ОМС" на сумму 193,13 тыс.руб. со сроком выполнения - 18.06.16-06.08.16.
2) ул. Университетская 25/1 кв.3: аукцион от 22.07.2016 признан несостоявшимся по причине непредоставления единственным участником информации в соответствииис ФЗ № 44-ФЗ.
По юридическим основаниям 3 квартиры, в которых планировали проводить ремонтные работы исключены из списка.В Департамент социального развития ХМАО-Югры 29.07.2016 направлено письмо о перераспределении средств из бюджета автономного округа.   
</t>
    </r>
    <r>
      <rPr>
        <u/>
        <sz val="20"/>
        <rFont val="Times New Roman"/>
        <family val="2"/>
        <charset val="204"/>
      </rPr>
      <t>ДАиГ:</t>
    </r>
    <r>
      <rPr>
        <sz val="20"/>
        <rFont val="Times New Roman"/>
        <family val="2"/>
        <charset val="204"/>
      </rPr>
      <t xml:space="preserve">
Аукцион на приобретение квартир для детей сирот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
</t>
    </r>
    <r>
      <rPr>
        <u/>
        <sz val="20"/>
        <rFont val="Times New Roman"/>
        <family val="1"/>
        <charset val="204"/>
      </rPr>
      <t xml:space="preserve">ДО:
</t>
    </r>
    <r>
      <rPr>
        <sz val="20"/>
        <rFont val="Times New Roman"/>
        <family val="1"/>
        <charset val="204"/>
      </rPr>
      <t xml:space="preserve">Реализация программы осуществляется в плановом режиме в соответствии с заключенным Соглашением.
Планируемая экономия, будет возвращена в бюджет автономного округа
 и в местный бюджет 
</t>
    </r>
    <r>
      <rPr>
        <u/>
        <sz val="20"/>
        <rFont val="Times New Roman"/>
        <family val="1"/>
        <charset val="204"/>
      </rPr>
      <t xml:space="preserve">ДКМПиС:
</t>
    </r>
    <r>
      <rPr>
        <sz val="20"/>
        <rFont val="Times New Roman"/>
        <family val="1"/>
        <charset val="204"/>
      </rPr>
      <t xml:space="preserve">Реализация программы  осуществляется в плановом режиме.  Бюджетные ассигнования будут использованы в полном объеме до конца 2016 года.
</t>
    </r>
  </si>
  <si>
    <r>
      <rPr>
        <u/>
        <sz val="20"/>
        <color theme="1"/>
        <rFont val="Times New Roman"/>
        <family val="1"/>
        <charset val="204"/>
      </rPr>
      <t>ДГХ:</t>
    </r>
    <r>
      <rPr>
        <sz val="20"/>
        <color theme="1"/>
        <rFont val="Times New Roman"/>
        <family val="2"/>
        <charset val="204"/>
      </rPr>
      <t xml:space="preserve"> Ожидаемое неисполнение ожидается по мероприятию "Развитие общественной инфраструктуры и реализация приоритетных направлений развития" в связи со сложившейся экономией по результатам проведения конкурсных процедур на выполнение работ по строительству объекта "Новое кладбище "Чернореченское-2" в г. Сургуте I пусковой комплекс 2 этап строительства". Экономию в сумме 19 445,28 тыс.руб. планируется распределить на другие объекты (МБОУ СОШ №19, МБОУ СОШ №25, МБОУ гимназия "Лаборатория Салахова", МБОУ ДОД "Центр детского творчества", МБДОУ №92 "Веснушка", МБОУ СОШ №26) (по согласованию с округом). 
Планируемая площадь строительства кладбища - 3,01 га.                                                                        
</t>
    </r>
    <r>
      <rPr>
        <u/>
        <sz val="20"/>
        <color theme="1"/>
        <rFont val="Times New Roman"/>
        <family val="1"/>
        <charset val="204"/>
      </rPr>
      <t xml:space="preserve">УПиЭ: </t>
    </r>
    <r>
      <rPr>
        <sz val="20"/>
        <color theme="1"/>
        <rFont val="Times New Roman"/>
        <family val="1"/>
        <charset val="204"/>
      </rPr>
      <t xml:space="preserve">Ожидаемое неисполнение ожидается по мероприятию "Развитие общественной инфраструктуры и реализация приоритетных направлений развития" в связи со сложившейся экономией по результатам проведения конкурсных процедур на выполнение работ по строительству объекта "Сквер в 5 "А" мкр". Экономию в сумме 4 125,93 тыс.руб. планируется распределить на другие объекты (МБОУ СОШ №19, МБОУ СОШ №25, МБОУ гимназия "Лаборатория Салахова", МБОУ ДОД "Центр детского творчества", МБДОУ №92 "Веснушка", МБОУ СОШ №26) (по согласованию с округом).
</t>
    </r>
    <r>
      <rPr>
        <u/>
        <sz val="20"/>
        <color theme="1"/>
        <rFont val="Times New Roman"/>
        <family val="1"/>
        <charset val="204"/>
      </rPr>
      <t>ДКМПиС:</t>
    </r>
    <r>
      <rPr>
        <sz val="20"/>
        <color theme="1"/>
        <rFont val="Times New Roman"/>
        <family val="1"/>
        <charset val="204"/>
      </rPr>
      <t xml:space="preserve">
Заключено соглашение о предоставлении субсидии из бюджета ХМАО-Югры на софинансирование расходных обязательств на повышение оплаты труда педагогических работников муниципальных образовательных организаций дополнительного образования детей. Реализация программы  осуществляется в плановом режиме.  Бюджетные ассигнования будут использованы в полном объеме до конца 2016 года.
</t>
    </r>
    <r>
      <rPr>
        <u/>
        <sz val="20"/>
        <color theme="1"/>
        <rFont val="Times New Roman"/>
        <family val="1"/>
        <charset val="204"/>
      </rPr>
      <t>ДО:</t>
    </r>
    <r>
      <rPr>
        <sz val="20"/>
        <color theme="1"/>
        <rFont val="Times New Roman"/>
        <family val="1"/>
        <charset val="204"/>
      </rPr>
      <t xml:space="preserve">
Реализация программы  осуществляется в плановом режиме.  Бюджетные ассигнования будут использованы в полном объеме до конца 2016 года.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</si>
</sst>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р_._-;\-* #,##0.00_р_._-;_-* &quot;-&quot;??_р_._-;_-@_-"/>
    <numFmt numFmtId="165" formatCode="#,##0.0"/>
    <numFmt numFmtId="166" formatCode="0.0"/>
    <numFmt numFmtId="167" formatCode="&quot;$&quot;#,##0_);\(&quot;$&quot;#,##0\)"/>
    <numFmt numFmtId="168" formatCode="&quot;р.&quot;#,##0_);\(&quot;р.&quot;#,##0\)"/>
    <numFmt numFmtId="169" formatCode="0.0%"/>
  </numFmts>
  <fonts count="62"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b/>
      <sz val="14"/>
      <color theme="1"/>
      <name val="Times New Roman"/>
      <family val="1"/>
      <charset val="204"/>
    </font>
    <font>
      <b/>
      <sz val="12"/>
      <color theme="1"/>
      <name val="Times New Roman"/>
      <family val="1"/>
      <charset val="204"/>
    </font>
    <font>
      <b/>
      <sz val="18"/>
      <color theme="1"/>
      <name val="Times New Roman"/>
      <family val="1"/>
      <charset val="204"/>
    </font>
    <font>
      <sz val="12"/>
      <name val="Times New Roman"/>
      <family val="2"/>
      <charset val="204"/>
    </font>
    <font>
      <sz val="16"/>
      <color theme="1"/>
      <name val="Times New Roman"/>
      <family val="2"/>
      <charset val="204"/>
    </font>
    <font>
      <sz val="16"/>
      <name val="Times New Roman"/>
      <family val="2"/>
      <charset val="204"/>
    </font>
    <font>
      <sz val="18"/>
      <color theme="1"/>
      <name val="Times New Roman"/>
      <family val="2"/>
      <charset val="204"/>
    </font>
    <font>
      <sz val="16"/>
      <color theme="0"/>
      <name val="Times New Roman"/>
      <family val="2"/>
      <charset val="204"/>
    </font>
    <font>
      <sz val="12"/>
      <color theme="0"/>
      <name val="Times New Roman"/>
      <family val="2"/>
      <charset val="204"/>
    </font>
    <font>
      <sz val="24"/>
      <color theme="1"/>
      <name val="Times New Roman"/>
      <family val="2"/>
      <charset val="204"/>
    </font>
    <font>
      <sz val="20"/>
      <color theme="1"/>
      <name val="Times New Roman"/>
      <family val="2"/>
      <charset val="204"/>
    </font>
    <font>
      <sz val="16"/>
      <color theme="1"/>
      <name val="Times New Roman"/>
      <family val="1"/>
      <charset val="204"/>
    </font>
    <font>
      <u/>
      <sz val="20"/>
      <color theme="1"/>
      <name val="Times New Roman"/>
      <family val="2"/>
      <charset val="204"/>
    </font>
    <font>
      <i/>
      <sz val="20"/>
      <color theme="1"/>
      <name val="Times New Roman"/>
      <family val="2"/>
      <charset val="204"/>
    </font>
    <font>
      <b/>
      <sz val="20"/>
      <color theme="1"/>
      <name val="Times New Roman"/>
      <family val="2"/>
      <charset val="204"/>
    </font>
    <font>
      <b/>
      <i/>
      <sz val="20"/>
      <color theme="1"/>
      <name val="Times New Roman"/>
      <family val="2"/>
      <charset val="204"/>
    </font>
    <font>
      <sz val="20"/>
      <color theme="9" tint="0.79998168889431442"/>
      <name val="Times New Roman"/>
      <family val="2"/>
      <charset val="204"/>
    </font>
    <font>
      <b/>
      <sz val="20"/>
      <color theme="0"/>
      <name val="Times New Roman"/>
      <family val="2"/>
      <charset val="204"/>
    </font>
    <font>
      <b/>
      <sz val="20"/>
      <color theme="9" tint="0.79998168889431442"/>
      <name val="Times New Roman"/>
      <family val="2"/>
      <charset val="204"/>
    </font>
    <font>
      <b/>
      <sz val="20"/>
      <name val="Times New Roman"/>
      <family val="2"/>
      <charset val="204"/>
    </font>
    <font>
      <sz val="20"/>
      <name val="Times New Roman"/>
      <family val="2"/>
      <charset val="204"/>
    </font>
    <font>
      <sz val="20"/>
      <color theme="1"/>
      <name val="Times New Roman"/>
      <family val="1"/>
      <charset val="204"/>
    </font>
    <font>
      <b/>
      <sz val="20"/>
      <color theme="1"/>
      <name val="Times New Roman"/>
      <family val="1"/>
      <charset val="204"/>
    </font>
    <font>
      <b/>
      <sz val="18"/>
      <color theme="1"/>
      <name val="Times New Roman"/>
      <family val="2"/>
      <charset val="204"/>
    </font>
    <font>
      <b/>
      <sz val="18"/>
      <color theme="9" tint="0.79998168889431442"/>
      <name val="Times New Roman"/>
      <family val="2"/>
      <charset val="204"/>
    </font>
    <font>
      <i/>
      <sz val="18"/>
      <color theme="1"/>
      <name val="Times New Roman"/>
      <family val="2"/>
      <charset val="204"/>
    </font>
    <font>
      <sz val="18"/>
      <color theme="9" tint="0.79998168889431442"/>
      <name val="Times New Roman"/>
      <family val="2"/>
      <charset val="204"/>
    </font>
    <font>
      <b/>
      <i/>
      <sz val="18"/>
      <color theme="1"/>
      <name val="Times New Roman"/>
      <family val="2"/>
      <charset val="204"/>
    </font>
    <font>
      <sz val="17"/>
      <color theme="1"/>
      <name val="Times New Roman"/>
      <family val="2"/>
      <charset val="204"/>
    </font>
    <font>
      <b/>
      <sz val="9"/>
      <color indexed="81"/>
      <name val="Tahoma"/>
      <family val="2"/>
      <charset val="204"/>
    </font>
    <font>
      <sz val="9"/>
      <color indexed="81"/>
      <name val="Tahoma"/>
      <family val="2"/>
      <charset val="204"/>
    </font>
    <font>
      <i/>
      <sz val="18"/>
      <color rgb="FF00B050"/>
      <name val="Times New Roman"/>
      <family val="2"/>
      <charset val="204"/>
    </font>
    <font>
      <sz val="18"/>
      <color rgb="FF00B050"/>
      <name val="Times New Roman"/>
      <family val="2"/>
      <charset val="204"/>
    </font>
    <font>
      <i/>
      <sz val="20"/>
      <color theme="1"/>
      <name val="Times New Roman"/>
      <family val="1"/>
      <charset val="204"/>
    </font>
    <font>
      <u/>
      <sz val="20"/>
      <color theme="1"/>
      <name val="Times New Roman"/>
      <family val="1"/>
      <charset val="204"/>
    </font>
    <font>
      <b/>
      <sz val="18"/>
      <name val="Times New Roman"/>
      <family val="2"/>
      <charset val="204"/>
    </font>
    <font>
      <sz val="18"/>
      <name val="Times New Roman"/>
      <family val="2"/>
      <charset val="204"/>
    </font>
    <font>
      <b/>
      <i/>
      <sz val="18"/>
      <name val="Times New Roman"/>
      <family val="2"/>
      <charset val="204"/>
    </font>
    <font>
      <i/>
      <sz val="18"/>
      <name val="Times New Roman"/>
      <family val="2"/>
      <charset val="204"/>
    </font>
    <font>
      <i/>
      <sz val="18"/>
      <name val="Times New Roman"/>
      <family val="1"/>
      <charset val="204"/>
    </font>
    <font>
      <sz val="18"/>
      <name val="Times New Roman"/>
      <family val="1"/>
      <charset val="204"/>
    </font>
    <font>
      <b/>
      <sz val="18"/>
      <name val="Times New Roman"/>
      <family val="1"/>
      <charset val="204"/>
    </font>
    <font>
      <sz val="20"/>
      <name val="Times New Roman"/>
      <family val="1"/>
      <charset val="204"/>
    </font>
    <font>
      <u/>
      <sz val="20"/>
      <name val="Times New Roman"/>
      <family val="1"/>
      <charset val="204"/>
    </font>
    <font>
      <u/>
      <sz val="18"/>
      <color theme="1"/>
      <name val="Times New Roman"/>
      <family val="2"/>
      <charset val="204"/>
    </font>
    <font>
      <sz val="18"/>
      <color theme="1"/>
      <name val="Times New Roman"/>
      <family val="1"/>
      <charset val="204"/>
    </font>
    <font>
      <b/>
      <i/>
      <sz val="18"/>
      <name val="Times New Roman"/>
      <family val="1"/>
      <charset val="204"/>
    </font>
    <font>
      <u/>
      <sz val="20"/>
      <name val="Times New Roman"/>
      <family val="2"/>
      <charset val="204"/>
    </font>
    <font>
      <sz val="24"/>
      <color indexed="81"/>
      <name val="Tahoma"/>
      <family val="2"/>
      <charset val="204"/>
    </font>
    <font>
      <sz val="18"/>
      <color indexed="81"/>
      <name val="Tahoma"/>
      <family val="2"/>
      <charset val="204"/>
    </font>
  </fonts>
  <fills count="8">
    <fill>
      <patternFill patternType="none"/>
    </fill>
    <fill>
      <patternFill patternType="gray125"/>
    </fill>
    <fill>
      <patternFill patternType="solid">
        <fgColor indexed="15"/>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9FF99"/>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68">
    <xf numFmtId="0" fontId="0" fillId="0" borderId="0" xfId="0"/>
    <xf numFmtId="2" fontId="0" fillId="0" borderId="1" xfId="0" applyNumberFormat="1" applyBorder="1" applyAlignment="1">
      <alignment horizontal="center" vertical="center" wrapText="1"/>
    </xf>
    <xf numFmtId="0" fontId="0" fillId="0" borderId="0" xfId="0" applyAlignment="1">
      <alignment horizontal="left"/>
    </xf>
    <xf numFmtId="4" fontId="15" fillId="3" borderId="1" xfId="0" quotePrefix="1" applyNumberFormat="1" applyFont="1" applyFill="1" applyBorder="1" applyAlignment="1">
      <alignment horizontal="center" vertical="center" wrapText="1"/>
    </xf>
    <xf numFmtId="4" fontId="15" fillId="3" borderId="1" xfId="0" applyNumberFormat="1" applyFont="1" applyFill="1" applyBorder="1" applyAlignment="1">
      <alignment horizontal="center" vertical="center" wrapText="1"/>
    </xf>
    <xf numFmtId="2" fontId="15" fillId="3" borderId="1" xfId="0" applyNumberFormat="1" applyFont="1" applyFill="1" applyBorder="1" applyAlignment="1">
      <alignment horizontal="center" vertical="center" wrapText="1"/>
    </xf>
    <xf numFmtId="9" fontId="15" fillId="3" borderId="1" xfId="0" applyNumberFormat="1" applyFont="1" applyFill="1" applyBorder="1" applyAlignment="1">
      <alignment horizontal="center" vertical="center" wrapText="1"/>
    </xf>
    <xf numFmtId="4" fontId="12" fillId="0" borderId="1" xfId="0" applyNumberFormat="1" applyFont="1" applyBorder="1" applyAlignment="1">
      <alignment horizontal="center" vertical="center" wrapText="1"/>
    </xf>
    <xf numFmtId="9" fontId="12" fillId="0" borderId="1" xfId="0" applyNumberFormat="1" applyFont="1" applyBorder="1" applyAlignment="1">
      <alignment horizontal="center" vertical="center" wrapText="1"/>
    </xf>
    <xf numFmtId="0" fontId="0" fillId="0" borderId="0" xfId="0" applyAlignment="1">
      <alignment horizontal="right"/>
    </xf>
    <xf numFmtId="1" fontId="16" fillId="0" borderId="1" xfId="0" applyNumberFormat="1" applyFont="1" applyBorder="1" applyAlignment="1">
      <alignment horizontal="center" vertical="center" wrapText="1"/>
    </xf>
    <xf numFmtId="2" fontId="16" fillId="0" borderId="1" xfId="0" applyNumberFormat="1" applyFont="1" applyBorder="1" applyAlignment="1">
      <alignment horizontal="left" vertical="center" wrapText="1"/>
    </xf>
    <xf numFmtId="2" fontId="16" fillId="0" borderId="1" xfId="0"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0" fontId="16" fillId="0" borderId="0" xfId="0" applyFont="1"/>
    <xf numFmtId="2" fontId="17"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166" fontId="16" fillId="0" borderId="1" xfId="0" applyNumberFormat="1" applyFont="1" applyBorder="1" applyAlignment="1">
      <alignment horizontal="center" vertical="center" wrapText="1"/>
    </xf>
    <xf numFmtId="2" fontId="16" fillId="3" borderId="1" xfId="0" applyNumberFormat="1" applyFont="1" applyFill="1" applyBorder="1" applyAlignment="1">
      <alignment horizontal="center" vertical="center" wrapText="1"/>
    </xf>
    <xf numFmtId="2" fontId="16" fillId="0" borderId="1" xfId="0" applyNumberFormat="1" applyFont="1" applyBorder="1" applyAlignment="1">
      <alignment horizontal="center" vertical="center" wrapText="1"/>
    </xf>
    <xf numFmtId="0" fontId="0" fillId="3" borderId="0" xfId="0" applyFill="1"/>
    <xf numFmtId="2" fontId="0" fillId="3" borderId="1" xfId="0" applyNumberFormat="1" applyFill="1" applyBorder="1" applyAlignment="1">
      <alignment horizontal="center" vertical="center" wrapText="1"/>
    </xf>
    <xf numFmtId="2" fontId="16"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0" fontId="20" fillId="0" borderId="0" xfId="0" applyFont="1"/>
    <xf numFmtId="4" fontId="19" fillId="0" borderId="0" xfId="0" applyNumberFormat="1" applyFont="1"/>
    <xf numFmtId="0" fontId="19" fillId="0" borderId="0" xfId="0" applyFont="1"/>
    <xf numFmtId="4" fontId="20" fillId="0" borderId="0" xfId="0" applyNumberFormat="1" applyFont="1"/>
    <xf numFmtId="4" fontId="22" fillId="3" borderId="0" xfId="0" applyNumberFormat="1" applyFont="1" applyFill="1" applyBorder="1" applyAlignment="1" applyProtection="1">
      <alignment horizontal="right" wrapText="1"/>
      <protection locked="0"/>
    </xf>
    <xf numFmtId="2" fontId="16" fillId="0" borderId="1" xfId="0" applyNumberFormat="1" applyFont="1" applyBorder="1" applyAlignment="1">
      <alignment horizontal="center" vertical="center" wrapText="1"/>
    </xf>
    <xf numFmtId="0" fontId="23" fillId="0" borderId="1" xfId="0" applyFont="1" applyFill="1" applyBorder="1" applyAlignment="1" applyProtection="1">
      <alignment horizontal="left" vertical="center" wrapText="1"/>
      <protection locked="0"/>
    </xf>
    <xf numFmtId="0" fontId="21" fillId="3" borderId="0" xfId="0" applyFont="1" applyFill="1" applyAlignment="1">
      <alignment horizontal="right" wrapText="1"/>
    </xf>
    <xf numFmtId="0" fontId="22" fillId="0" borderId="0" xfId="0" applyFont="1" applyFill="1" applyBorder="1" applyAlignment="1">
      <alignment horizontal="center" wrapText="1"/>
    </xf>
    <xf numFmtId="0" fontId="22" fillId="0" borderId="0" xfId="0" applyFont="1" applyFill="1" applyBorder="1" applyAlignment="1">
      <alignment wrapText="1"/>
    </xf>
    <xf numFmtId="4" fontId="22" fillId="0" borderId="0" xfId="0" applyNumberFormat="1" applyFont="1" applyFill="1" applyBorder="1" applyAlignment="1">
      <alignment wrapText="1"/>
    </xf>
    <xf numFmtId="2" fontId="22" fillId="0" borderId="0" xfId="0" applyNumberFormat="1" applyFont="1" applyFill="1" applyBorder="1" applyAlignment="1">
      <alignment wrapText="1"/>
    </xf>
    <xf numFmtId="9" fontId="22" fillId="0" borderId="0" xfId="0" applyNumberFormat="1" applyFont="1" applyFill="1" applyBorder="1" applyAlignment="1">
      <alignment wrapText="1"/>
    </xf>
    <xf numFmtId="9" fontId="22" fillId="3" borderId="0" xfId="0" applyNumberFormat="1" applyFont="1" applyFill="1" applyBorder="1" applyAlignment="1">
      <alignment wrapText="1"/>
    </xf>
    <xf numFmtId="0" fontId="22" fillId="0" borderId="0" xfId="0" applyFont="1" applyFill="1" applyAlignment="1">
      <alignment wrapText="1"/>
    </xf>
    <xf numFmtId="0" fontId="22" fillId="0" borderId="0" xfId="0" applyFont="1" applyFill="1" applyBorder="1" applyAlignment="1" applyProtection="1">
      <alignment horizontal="center" vertical="center" wrapText="1"/>
      <protection locked="0"/>
    </xf>
    <xf numFmtId="4" fontId="22" fillId="0" borderId="0" xfId="0" applyNumberFormat="1" applyFont="1" applyFill="1" applyBorder="1" applyAlignment="1" applyProtection="1">
      <alignment horizontal="center" vertical="center" wrapText="1"/>
      <protection locked="0"/>
    </xf>
    <xf numFmtId="9" fontId="22" fillId="0" borderId="0" xfId="0" applyNumberFormat="1" applyFont="1" applyFill="1" applyBorder="1" applyAlignment="1" applyProtection="1">
      <alignment horizontal="right" vertical="center" wrapText="1"/>
      <protection locked="0"/>
    </xf>
    <xf numFmtId="1" fontId="22" fillId="3" borderId="0" xfId="0" applyNumberFormat="1" applyFont="1" applyFill="1" applyBorder="1" applyAlignment="1" applyProtection="1">
      <alignment horizontal="right" vertical="center" wrapText="1"/>
      <protection locked="0"/>
    </xf>
    <xf numFmtId="9" fontId="22" fillId="3" borderId="0" xfId="0" applyNumberFormat="1" applyFont="1" applyFill="1" applyBorder="1" applyAlignment="1" applyProtection="1">
      <alignment horizontal="right" vertical="center" wrapText="1"/>
      <protection locked="0"/>
    </xf>
    <xf numFmtId="0" fontId="22" fillId="3" borderId="0" xfId="0" applyFont="1" applyFill="1" applyAlignment="1">
      <alignment horizontal="left" vertical="top" wrapText="1"/>
    </xf>
    <xf numFmtId="2" fontId="22" fillId="3" borderId="1" xfId="0" applyNumberFormat="1" applyFont="1" applyFill="1" applyBorder="1" applyAlignment="1" applyProtection="1">
      <alignment horizontal="center" vertical="top" wrapText="1"/>
      <protection locked="0"/>
    </xf>
    <xf numFmtId="9" fontId="22" fillId="3" borderId="1" xfId="0" applyNumberFormat="1" applyFont="1" applyFill="1" applyBorder="1" applyAlignment="1" applyProtection="1">
      <alignment horizontal="center" vertical="top" wrapText="1"/>
      <protection locked="0"/>
    </xf>
    <xf numFmtId="4" fontId="22" fillId="3" borderId="1" xfId="0" applyNumberFormat="1" applyFont="1" applyFill="1" applyBorder="1" applyAlignment="1" applyProtection="1">
      <alignment horizontal="center" vertical="top" wrapText="1"/>
      <protection locked="0"/>
    </xf>
    <xf numFmtId="9" fontId="22" fillId="3" borderId="5" xfId="0" applyNumberFormat="1" applyFont="1" applyFill="1" applyBorder="1" applyAlignment="1" applyProtection="1">
      <alignment horizontal="center" vertical="top" wrapText="1"/>
      <protection locked="0"/>
    </xf>
    <xf numFmtId="0" fontId="25" fillId="0" borderId="1" xfId="0" applyFont="1" applyFill="1" applyBorder="1" applyAlignment="1" applyProtection="1">
      <alignment horizontal="center" vertical="center" wrapText="1"/>
      <protection locked="0"/>
    </xf>
    <xf numFmtId="3" fontId="25" fillId="0" borderId="1" xfId="0" applyNumberFormat="1" applyFont="1" applyFill="1" applyBorder="1" applyAlignment="1" applyProtection="1">
      <alignment horizontal="center" vertical="center" wrapText="1"/>
      <protection locked="0"/>
    </xf>
    <xf numFmtId="3" fontId="25" fillId="0" borderId="5" xfId="0" applyNumberFormat="1" applyFont="1" applyFill="1" applyBorder="1" applyAlignment="1" applyProtection="1">
      <alignment horizontal="center" vertical="center" wrapText="1"/>
      <protection locked="0"/>
    </xf>
    <xf numFmtId="1" fontId="25" fillId="0" borderId="1" xfId="0" applyNumberFormat="1"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top" wrapText="1"/>
      <protection locked="0"/>
    </xf>
    <xf numFmtId="0" fontId="25" fillId="3" borderId="1" xfId="0" applyFont="1" applyFill="1" applyBorder="1" applyAlignment="1" applyProtection="1">
      <alignment horizontal="center" vertical="top" wrapText="1"/>
      <protection locked="0"/>
    </xf>
    <xf numFmtId="3" fontId="25" fillId="3" borderId="5" xfId="0" applyNumberFormat="1" applyFont="1" applyFill="1" applyBorder="1" applyAlignment="1" applyProtection="1">
      <alignment horizontal="center" vertical="center" wrapText="1"/>
      <protection locked="0"/>
    </xf>
    <xf numFmtId="0" fontId="25" fillId="0" borderId="0" xfId="0" applyFont="1" applyFill="1" applyAlignment="1">
      <alignment horizontal="left" vertical="top" wrapText="1"/>
    </xf>
    <xf numFmtId="0" fontId="26" fillId="3" borderId="4" xfId="0" applyFont="1" applyFill="1" applyBorder="1" applyAlignment="1" applyProtection="1">
      <alignment vertical="center" wrapText="1"/>
      <protection locked="0"/>
    </xf>
    <xf numFmtId="4" fontId="26" fillId="3" borderId="1" xfId="0" applyNumberFormat="1" applyFont="1" applyFill="1" applyBorder="1" applyAlignment="1" applyProtection="1">
      <alignment horizontal="center" vertical="center" wrapText="1"/>
      <protection locked="0"/>
    </xf>
    <xf numFmtId="4" fontId="26" fillId="0" borderId="1" xfId="0" applyNumberFormat="1" applyFont="1" applyFill="1" applyBorder="1" applyAlignment="1" applyProtection="1">
      <alignment horizontal="center" vertical="center" wrapText="1"/>
      <protection locked="0"/>
    </xf>
    <xf numFmtId="4" fontId="26" fillId="3" borderId="4" xfId="0" applyNumberFormat="1" applyFont="1" applyFill="1" applyBorder="1" applyAlignment="1" applyProtection="1">
      <alignment vertical="top" wrapText="1"/>
      <protection locked="0"/>
    </xf>
    <xf numFmtId="0" fontId="26" fillId="4" borderId="0" xfId="0" applyFont="1" applyFill="1" applyAlignment="1">
      <alignment horizontal="left" vertical="top" wrapText="1"/>
    </xf>
    <xf numFmtId="0" fontId="22" fillId="3" borderId="1" xfId="0" applyFont="1" applyFill="1" applyBorder="1" applyAlignment="1" applyProtection="1">
      <alignment horizontal="left" vertical="center" wrapText="1"/>
      <protection locked="0"/>
    </xf>
    <xf numFmtId="4" fontId="22" fillId="0" borderId="1" xfId="0" applyNumberFormat="1" applyFont="1" applyFill="1" applyBorder="1" applyAlignment="1" applyProtection="1">
      <alignment horizontal="center" vertical="center" wrapText="1"/>
      <protection locked="0"/>
    </xf>
    <xf numFmtId="4" fontId="26" fillId="3" borderId="2" xfId="0" applyNumberFormat="1" applyFont="1" applyFill="1" applyBorder="1" applyAlignment="1" applyProtection="1">
      <alignment vertical="top" wrapText="1"/>
      <protection locked="0"/>
    </xf>
    <xf numFmtId="0" fontId="22" fillId="4" borderId="0" xfId="0" applyFont="1" applyFill="1" applyAlignment="1">
      <alignment horizontal="left" vertical="top" wrapText="1"/>
    </xf>
    <xf numFmtId="4" fontId="26" fillId="3" borderId="3" xfId="0" applyNumberFormat="1" applyFont="1" applyFill="1" applyBorder="1" applyAlignment="1" applyProtection="1">
      <alignment vertical="top" wrapText="1"/>
      <protection locked="0"/>
    </xf>
    <xf numFmtId="0" fontId="26" fillId="0" borderId="1" xfId="0" applyFont="1" applyFill="1" applyBorder="1" applyAlignment="1" applyProtection="1">
      <alignment horizontal="left" vertical="center" wrapText="1"/>
      <protection locked="0"/>
    </xf>
    <xf numFmtId="9" fontId="26" fillId="0" borderId="1" xfId="0" applyNumberFormat="1" applyFont="1" applyFill="1" applyBorder="1" applyAlignment="1" applyProtection="1">
      <alignment horizontal="center" vertical="center" wrapText="1"/>
      <protection locked="0"/>
    </xf>
    <xf numFmtId="9" fontId="26" fillId="0" borderId="5" xfId="0" applyNumberFormat="1" applyFont="1" applyFill="1" applyBorder="1" applyAlignment="1" applyProtection="1">
      <alignment horizontal="center" vertical="center" wrapText="1"/>
      <protection locked="0"/>
    </xf>
    <xf numFmtId="9" fontId="26" fillId="0" borderId="9" xfId="0" applyNumberFormat="1" applyFont="1" applyFill="1" applyBorder="1" applyAlignment="1" applyProtection="1">
      <alignment horizontal="center" vertical="center" wrapText="1"/>
      <protection locked="0"/>
    </xf>
    <xf numFmtId="0" fontId="26" fillId="3" borderId="0" xfId="0" applyFont="1" applyFill="1" applyAlignment="1">
      <alignment horizontal="left" vertical="top" wrapText="1"/>
    </xf>
    <xf numFmtId="9" fontId="22" fillId="0" borderId="1" xfId="0" applyNumberFormat="1" applyFont="1" applyFill="1" applyBorder="1" applyAlignment="1" applyProtection="1">
      <alignment horizontal="center" vertical="center" wrapText="1"/>
      <protection locked="0"/>
    </xf>
    <xf numFmtId="9" fontId="22" fillId="0" borderId="5" xfId="0" applyNumberFormat="1" applyFont="1" applyFill="1" applyBorder="1" applyAlignment="1" applyProtection="1">
      <alignment horizontal="center" vertical="center" wrapText="1"/>
      <protection locked="0"/>
    </xf>
    <xf numFmtId="9" fontId="22" fillId="0" borderId="10" xfId="0" applyNumberFormat="1" applyFont="1" applyFill="1" applyBorder="1" applyAlignment="1" applyProtection="1">
      <alignment horizontal="center" vertical="center" wrapText="1"/>
      <protection locked="0"/>
    </xf>
    <xf numFmtId="0" fontId="22" fillId="2" borderId="0" xfId="0" applyFont="1" applyFill="1" applyAlignment="1">
      <alignment horizontal="left" vertical="top" wrapText="1"/>
    </xf>
    <xf numFmtId="0" fontId="22" fillId="0" borderId="4" xfId="0" applyFont="1" applyFill="1" applyBorder="1" applyAlignment="1" applyProtection="1">
      <alignment horizontal="center" vertical="center" wrapText="1"/>
      <protection locked="0"/>
    </xf>
    <xf numFmtId="9" fontId="27" fillId="0" borderId="1" xfId="0" applyNumberFormat="1" applyFont="1" applyFill="1" applyBorder="1" applyAlignment="1" applyProtection="1">
      <alignment horizontal="center" vertical="center" wrapText="1"/>
      <protection locked="0"/>
    </xf>
    <xf numFmtId="9" fontId="27" fillId="0" borderId="5" xfId="0" applyNumberFormat="1" applyFont="1" applyFill="1" applyBorder="1" applyAlignment="1" applyProtection="1">
      <alignment horizontal="center" vertical="center" wrapText="1"/>
      <protection locked="0"/>
    </xf>
    <xf numFmtId="4" fontId="26" fillId="0" borderId="9" xfId="0" applyNumberFormat="1" applyFont="1" applyFill="1" applyBorder="1" applyAlignment="1" applyProtection="1">
      <alignment horizontal="center" vertical="center" wrapText="1"/>
      <protection locked="0"/>
    </xf>
    <xf numFmtId="0" fontId="22" fillId="3" borderId="0" xfId="0" applyFont="1" applyFill="1" applyAlignment="1">
      <alignment wrapText="1"/>
    </xf>
    <xf numFmtId="0" fontId="22" fillId="0" borderId="2" xfId="0" applyFont="1" applyFill="1" applyBorder="1" applyAlignment="1" applyProtection="1">
      <alignment horizontal="center" vertical="center" wrapText="1"/>
      <protection locked="0"/>
    </xf>
    <xf numFmtId="4" fontId="26" fillId="0" borderId="3" xfId="0" applyNumberFormat="1" applyFont="1" applyFill="1" applyBorder="1" applyAlignment="1" applyProtection="1">
      <alignment horizontal="center" vertical="center" wrapText="1"/>
      <protection locked="0"/>
    </xf>
    <xf numFmtId="9" fontId="27" fillId="0" borderId="10" xfId="0" applyNumberFormat="1" applyFont="1" applyFill="1" applyBorder="1" applyAlignment="1" applyProtection="1">
      <alignment horizontal="center" vertical="center" wrapText="1"/>
      <protection locked="0"/>
    </xf>
    <xf numFmtId="0" fontId="22" fillId="0" borderId="2" xfId="0" applyFont="1" applyFill="1" applyBorder="1" applyAlignment="1" applyProtection="1">
      <alignment vertical="center" wrapText="1"/>
      <protection locked="0"/>
    </xf>
    <xf numFmtId="4" fontId="22" fillId="0" borderId="3" xfId="0" applyNumberFormat="1" applyFont="1" applyFill="1" applyBorder="1" applyAlignment="1" applyProtection="1">
      <alignment horizontal="center" vertical="center" wrapText="1"/>
      <protection locked="0"/>
    </xf>
    <xf numFmtId="4" fontId="22" fillId="0" borderId="9" xfId="0" applyNumberFormat="1" applyFont="1" applyFill="1" applyBorder="1" applyAlignment="1" applyProtection="1">
      <alignment horizontal="center" vertical="center" wrapText="1"/>
      <protection locked="0"/>
    </xf>
    <xf numFmtId="4" fontId="28" fillId="0" borderId="1" xfId="0" applyNumberFormat="1" applyFont="1" applyFill="1" applyBorder="1" applyAlignment="1" applyProtection="1">
      <alignment horizontal="center" vertical="center" wrapText="1"/>
      <protection locked="0"/>
    </xf>
    <xf numFmtId="9" fontId="28" fillId="0" borderId="1" xfId="0" applyNumberFormat="1" applyFont="1" applyFill="1" applyBorder="1" applyAlignment="1" applyProtection="1">
      <alignment horizontal="center" vertical="center" wrapText="1"/>
      <protection locked="0"/>
    </xf>
    <xf numFmtId="9" fontId="28" fillId="0" borderId="5" xfId="0" applyNumberFormat="1" applyFont="1" applyFill="1" applyBorder="1" applyAlignment="1" applyProtection="1">
      <alignment horizontal="center" vertical="center" wrapText="1"/>
      <protection locked="0"/>
    </xf>
    <xf numFmtId="4" fontId="27" fillId="0" borderId="9" xfId="0" applyNumberFormat="1" applyFont="1" applyFill="1" applyBorder="1" applyAlignment="1" applyProtection="1">
      <alignment horizontal="center" vertical="center" wrapText="1"/>
      <protection locked="0"/>
    </xf>
    <xf numFmtId="0" fontId="26" fillId="0" borderId="4" xfId="0" applyFont="1" applyFill="1" applyBorder="1" applyAlignment="1" applyProtection="1">
      <alignment horizontal="left" vertical="center" wrapText="1"/>
      <protection locked="0"/>
    </xf>
    <xf numFmtId="0" fontId="26" fillId="0" borderId="2" xfId="0" applyFont="1" applyFill="1" applyBorder="1" applyAlignment="1" applyProtection="1">
      <alignment vertical="center" wrapText="1"/>
      <protection locked="0"/>
    </xf>
    <xf numFmtId="4" fontId="22" fillId="0" borderId="4" xfId="0" applyNumberFormat="1" applyFont="1" applyFill="1" applyBorder="1" applyAlignment="1" applyProtection="1">
      <alignment horizontal="center" vertical="center" wrapText="1"/>
      <protection locked="0"/>
    </xf>
    <xf numFmtId="9" fontId="22" fillId="0" borderId="4" xfId="0" applyNumberFormat="1" applyFont="1" applyFill="1" applyBorder="1" applyAlignment="1" applyProtection="1">
      <alignment horizontal="center" vertical="center" wrapText="1"/>
      <protection locked="0"/>
    </xf>
    <xf numFmtId="9" fontId="22" fillId="0" borderId="9" xfId="0" applyNumberFormat="1" applyFont="1" applyFill="1" applyBorder="1" applyAlignment="1" applyProtection="1">
      <alignment horizontal="center" vertical="center" wrapText="1"/>
      <protection locked="0"/>
    </xf>
    <xf numFmtId="0" fontId="26" fillId="0" borderId="6" xfId="0" applyFont="1" applyFill="1" applyBorder="1" applyAlignment="1" applyProtection="1">
      <alignment horizontal="left" vertical="center" wrapText="1"/>
      <protection locked="0"/>
    </xf>
    <xf numFmtId="2" fontId="26" fillId="0" borderId="1" xfId="0" applyNumberFormat="1" applyFont="1" applyFill="1" applyBorder="1" applyAlignment="1" applyProtection="1">
      <alignment horizontal="center" vertical="center" wrapText="1"/>
      <protection locked="0"/>
    </xf>
    <xf numFmtId="9" fontId="29" fillId="0" borderId="5" xfId="0" applyNumberFormat="1" applyFont="1" applyFill="1" applyBorder="1" applyAlignment="1" applyProtection="1">
      <alignment horizontal="center" vertical="center" wrapText="1"/>
      <protection locked="0"/>
    </xf>
    <xf numFmtId="0" fontId="26" fillId="2" borderId="0" xfId="0" applyFont="1" applyFill="1" applyAlignment="1">
      <alignment horizontal="left" vertical="center" wrapText="1"/>
    </xf>
    <xf numFmtId="0" fontId="26" fillId="0" borderId="4" xfId="0" applyFont="1" applyFill="1" applyBorder="1" applyAlignment="1" applyProtection="1">
      <alignment horizontal="left" vertical="top" wrapText="1"/>
      <protection locked="0"/>
    </xf>
    <xf numFmtId="0" fontId="22" fillId="3" borderId="6" xfId="0" applyFont="1" applyFill="1" applyBorder="1" applyAlignment="1" applyProtection="1">
      <alignment horizontal="left" vertical="center" wrapText="1"/>
      <protection locked="0"/>
    </xf>
    <xf numFmtId="169" fontId="22" fillId="0" borderId="1" xfId="0" applyNumberFormat="1" applyFont="1" applyFill="1" applyBorder="1" applyAlignment="1" applyProtection="1">
      <alignment horizontal="center" vertical="center" wrapText="1"/>
      <protection locked="0"/>
    </xf>
    <xf numFmtId="9" fontId="22" fillId="0" borderId="7" xfId="0" applyNumberFormat="1" applyFont="1" applyFill="1" applyBorder="1" applyAlignment="1" applyProtection="1">
      <alignment horizontal="center" vertical="center" wrapText="1"/>
      <protection locked="0"/>
    </xf>
    <xf numFmtId="9" fontId="22" fillId="0" borderId="3" xfId="0" applyNumberFormat="1" applyFont="1" applyFill="1" applyBorder="1" applyAlignment="1" applyProtection="1">
      <alignment horizontal="center" vertical="center" wrapText="1"/>
      <protection locked="0"/>
    </xf>
    <xf numFmtId="4" fontId="30" fillId="0" borderId="1" xfId="0" applyNumberFormat="1" applyFont="1" applyFill="1" applyBorder="1" applyAlignment="1" applyProtection="1">
      <alignment horizontal="center" vertical="center" wrapText="1"/>
      <protection locked="0"/>
    </xf>
    <xf numFmtId="9" fontId="30" fillId="0" borderId="1" xfId="0" applyNumberFormat="1" applyFont="1" applyFill="1" applyBorder="1" applyAlignment="1" applyProtection="1">
      <alignment horizontal="center" vertical="center" wrapText="1"/>
      <protection locked="0"/>
    </xf>
    <xf numFmtId="9" fontId="30" fillId="0" borderId="5" xfId="0" applyNumberFormat="1" applyFont="1" applyFill="1" applyBorder="1" applyAlignment="1" applyProtection="1">
      <alignment horizontal="center" vertical="center" wrapText="1"/>
      <protection locked="0"/>
    </xf>
    <xf numFmtId="0" fontId="26" fillId="0" borderId="2" xfId="0" quotePrefix="1" applyFont="1" applyFill="1" applyBorder="1" applyAlignment="1" applyProtection="1">
      <alignment horizontal="center" vertical="center" wrapText="1"/>
      <protection locked="0"/>
    </xf>
    <xf numFmtId="0" fontId="22" fillId="5" borderId="0" xfId="0" applyFont="1" applyFill="1" applyAlignment="1">
      <alignment horizontal="left" vertical="top" wrapText="1"/>
    </xf>
    <xf numFmtId="0" fontId="26" fillId="0" borderId="3" xfId="0" applyFont="1" applyFill="1" applyBorder="1" applyAlignment="1" applyProtection="1">
      <alignment vertical="center" wrapText="1"/>
      <protection locked="0"/>
    </xf>
    <xf numFmtId="4" fontId="22" fillId="0" borderId="2" xfId="0" applyNumberFormat="1" applyFont="1" applyFill="1" applyBorder="1" applyAlignment="1" applyProtection="1">
      <alignment horizontal="center" vertical="center" wrapText="1"/>
      <protection locked="0"/>
    </xf>
    <xf numFmtId="0" fontId="25" fillId="5" borderId="0" xfId="0" applyFont="1" applyFill="1" applyAlignment="1">
      <alignment horizontal="left" vertical="center" wrapText="1"/>
    </xf>
    <xf numFmtId="2" fontId="30" fillId="0" borderId="1" xfId="0" applyNumberFormat="1" applyFont="1" applyFill="1" applyBorder="1" applyAlignment="1" applyProtection="1">
      <alignment horizontal="center" vertical="center" wrapText="1"/>
      <protection locked="0"/>
    </xf>
    <xf numFmtId="0" fontId="27" fillId="3" borderId="0" xfId="0" applyFont="1" applyFill="1" applyAlignment="1">
      <alignment horizontal="left" vertical="center" wrapText="1"/>
    </xf>
    <xf numFmtId="0" fontId="22" fillId="0" borderId="4" xfId="0" applyFont="1" applyFill="1" applyBorder="1" applyAlignment="1" applyProtection="1">
      <alignment vertical="center" wrapText="1"/>
      <protection locked="0"/>
    </xf>
    <xf numFmtId="0" fontId="25" fillId="3" borderId="0" xfId="0" applyFont="1" applyFill="1" applyAlignment="1">
      <alignment horizontal="left" vertical="center" wrapText="1"/>
    </xf>
    <xf numFmtId="0" fontId="31" fillId="0" borderId="4"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left" vertical="center" wrapText="1"/>
      <protection locked="0"/>
    </xf>
    <xf numFmtId="4" fontId="31" fillId="0" borderId="1" xfId="0" applyNumberFormat="1" applyFont="1" applyFill="1" applyBorder="1" applyAlignment="1" applyProtection="1">
      <alignment horizontal="center" vertical="center" wrapText="1"/>
      <protection locked="0"/>
    </xf>
    <xf numFmtId="9" fontId="31" fillId="0" borderId="1" xfId="0" applyNumberFormat="1" applyFont="1" applyFill="1" applyBorder="1" applyAlignment="1" applyProtection="1">
      <alignment horizontal="center" vertical="center" wrapText="1"/>
      <protection locked="0"/>
    </xf>
    <xf numFmtId="9" fontId="31" fillId="0" borderId="5" xfId="0" applyNumberFormat="1" applyFont="1" applyFill="1" applyBorder="1" applyAlignment="1" applyProtection="1">
      <alignment horizontal="center" vertical="center" wrapText="1"/>
      <protection locked="0"/>
    </xf>
    <xf numFmtId="0" fontId="31" fillId="0" borderId="2" xfId="0" applyFont="1" applyFill="1" applyBorder="1" applyAlignment="1" applyProtection="1">
      <alignment horizontal="center" vertical="center" wrapText="1"/>
      <protection locked="0"/>
    </xf>
    <xf numFmtId="4" fontId="32" fillId="0" borderId="1" xfId="0" applyNumberFormat="1" applyFont="1" applyFill="1" applyBorder="1" applyAlignment="1" applyProtection="1">
      <alignment horizontal="center" vertical="center" wrapText="1"/>
      <protection locked="0"/>
    </xf>
    <xf numFmtId="9" fontId="32" fillId="0" borderId="3" xfId="0" applyNumberFormat="1" applyFont="1" applyFill="1" applyBorder="1" applyAlignment="1" applyProtection="1">
      <alignment horizontal="center" vertical="center" wrapText="1"/>
      <protection locked="0"/>
    </xf>
    <xf numFmtId="9" fontId="32" fillId="0" borderId="7" xfId="0" applyNumberFormat="1" applyFont="1" applyFill="1" applyBorder="1" applyAlignment="1" applyProtection="1">
      <alignment horizontal="center" vertical="center" wrapText="1"/>
      <protection locked="0"/>
    </xf>
    <xf numFmtId="0" fontId="31" fillId="0" borderId="2" xfId="0" applyFont="1" applyFill="1" applyBorder="1" applyAlignment="1" applyProtection="1">
      <alignment vertical="center" wrapText="1"/>
      <protection locked="0"/>
    </xf>
    <xf numFmtId="4" fontId="31" fillId="0" borderId="3" xfId="0" applyNumberFormat="1" applyFont="1" applyFill="1" applyBorder="1" applyAlignment="1" applyProtection="1">
      <alignment horizontal="center" vertical="center" wrapText="1"/>
      <protection locked="0"/>
    </xf>
    <xf numFmtId="9" fontId="32" fillId="0" borderId="1" xfId="0" applyNumberFormat="1" applyFont="1" applyFill="1" applyBorder="1" applyAlignment="1" applyProtection="1">
      <alignment horizontal="center" vertical="center" wrapText="1"/>
      <protection locked="0"/>
    </xf>
    <xf numFmtId="0" fontId="27" fillId="5" borderId="0" xfId="0" applyFont="1" applyFill="1" applyAlignment="1">
      <alignment horizontal="left" vertical="center" wrapText="1"/>
    </xf>
    <xf numFmtId="9" fontId="28" fillId="0" borderId="3" xfId="0" applyNumberFormat="1" applyFont="1" applyFill="1" applyBorder="1" applyAlignment="1" applyProtection="1">
      <alignment horizontal="center" vertical="center" wrapText="1"/>
      <protection locked="0"/>
    </xf>
    <xf numFmtId="9" fontId="29" fillId="0" borderId="1" xfId="0" applyNumberFormat="1" applyFont="1" applyFill="1" applyBorder="1" applyAlignment="1" applyProtection="1">
      <alignment horizontal="center" vertical="center" wrapText="1"/>
      <protection locked="0"/>
    </xf>
    <xf numFmtId="4" fontId="29" fillId="0" borderId="1" xfId="0" applyNumberFormat="1" applyFont="1" applyFill="1" applyBorder="1" applyAlignment="1" applyProtection="1">
      <alignment horizontal="center" vertical="center" wrapText="1"/>
      <protection locked="0"/>
    </xf>
    <xf numFmtId="0" fontId="25" fillId="3" borderId="0" xfId="0" applyFont="1" applyFill="1" applyAlignment="1">
      <alignment horizontal="left" vertical="top" wrapText="1"/>
    </xf>
    <xf numFmtId="0" fontId="22" fillId="3" borderId="4" xfId="0" applyFont="1" applyFill="1" applyBorder="1" applyAlignment="1" applyProtection="1">
      <alignment horizontal="left" vertical="center" wrapText="1"/>
      <protection locked="0"/>
    </xf>
    <xf numFmtId="0" fontId="27" fillId="3" borderId="0" xfId="0" applyFont="1" applyFill="1" applyAlignment="1">
      <alignment horizontal="left" vertical="top" wrapText="1"/>
    </xf>
    <xf numFmtId="0" fontId="26" fillId="3" borderId="0" xfId="0" applyFont="1" applyFill="1" applyAlignment="1">
      <alignment horizontal="left" vertical="center" wrapText="1"/>
    </xf>
    <xf numFmtId="0" fontId="22" fillId="0" borderId="0" xfId="0" applyFont="1" applyFill="1" applyAlignment="1">
      <alignment horizontal="center" wrapText="1"/>
    </xf>
    <xf numFmtId="4" fontId="22" fillId="0" borderId="0" xfId="0" applyNumberFormat="1" applyFont="1" applyFill="1" applyAlignment="1">
      <alignment wrapText="1"/>
    </xf>
    <xf numFmtId="2" fontId="22" fillId="0" borderId="0" xfId="0" applyNumberFormat="1" applyFont="1" applyFill="1" applyAlignment="1">
      <alignment wrapText="1"/>
    </xf>
    <xf numFmtId="9" fontId="22" fillId="0" borderId="0" xfId="0" applyNumberFormat="1" applyFont="1" applyFill="1" applyAlignment="1">
      <alignment wrapText="1"/>
    </xf>
    <xf numFmtId="9" fontId="22" fillId="3" borderId="0" xfId="0" applyNumberFormat="1" applyFont="1" applyFill="1" applyAlignment="1">
      <alignment wrapText="1"/>
    </xf>
    <xf numFmtId="0" fontId="22" fillId="3" borderId="0" xfId="0" applyFont="1" applyFill="1" applyAlignment="1">
      <alignment horizontal="center" wrapText="1"/>
    </xf>
    <xf numFmtId="4" fontId="22" fillId="3" borderId="0" xfId="0" applyNumberFormat="1" applyFont="1" applyFill="1" applyAlignment="1">
      <alignment wrapText="1"/>
    </xf>
    <xf numFmtId="2" fontId="22" fillId="3" borderId="0" xfId="0" applyNumberFormat="1" applyFont="1" applyFill="1" applyAlignment="1">
      <alignment wrapText="1"/>
    </xf>
    <xf numFmtId="4" fontId="33" fillId="0" borderId="1" xfId="0" applyNumberFormat="1" applyFont="1" applyFill="1" applyBorder="1" applyAlignment="1" applyProtection="1">
      <alignment horizontal="center" vertical="center" wrapText="1"/>
      <protection locked="0"/>
    </xf>
    <xf numFmtId="9" fontId="33" fillId="0" borderId="1" xfId="0" applyNumberFormat="1" applyFont="1" applyFill="1" applyBorder="1" applyAlignment="1" applyProtection="1">
      <alignment horizontal="center" vertical="center" wrapText="1"/>
      <protection locked="0"/>
    </xf>
    <xf numFmtId="9" fontId="33" fillId="0" borderId="5" xfId="0" applyNumberFormat="1" applyFont="1" applyFill="1" applyBorder="1" applyAlignment="1" applyProtection="1">
      <alignment horizontal="center" vertical="center" wrapText="1"/>
      <protection locked="0"/>
    </xf>
    <xf numFmtId="9" fontId="33" fillId="0" borderId="10" xfId="0" applyNumberFormat="1" applyFont="1" applyFill="1" applyBorder="1" applyAlignment="1" applyProtection="1">
      <alignment horizontal="center" vertical="center" wrapText="1"/>
      <protection locked="0"/>
    </xf>
    <xf numFmtId="9" fontId="34" fillId="0" borderId="5" xfId="0" applyNumberFormat="1" applyFont="1" applyFill="1" applyBorder="1" applyAlignment="1" applyProtection="1">
      <alignment horizontal="center" vertical="center" wrapText="1"/>
      <protection locked="0"/>
    </xf>
    <xf numFmtId="9" fontId="35" fillId="3" borderId="4" xfId="0" applyNumberFormat="1" applyFont="1" applyFill="1" applyBorder="1" applyAlignment="1" applyProtection="1">
      <alignment horizontal="center" vertical="center" wrapText="1"/>
      <protection locked="0"/>
    </xf>
    <xf numFmtId="0" fontId="18" fillId="3" borderId="4" xfId="0" applyFont="1" applyFill="1" applyBorder="1" applyAlignment="1" applyProtection="1">
      <alignment vertical="center" wrapText="1"/>
      <protection locked="0"/>
    </xf>
    <xf numFmtId="0" fontId="18" fillId="3" borderId="4" xfId="0" applyFont="1" applyFill="1" applyBorder="1" applyAlignment="1">
      <alignment horizontal="left" vertical="center" wrapText="1"/>
    </xf>
    <xf numFmtId="0" fontId="37" fillId="3" borderId="0" xfId="0" applyFont="1" applyFill="1" applyAlignment="1">
      <alignment horizontal="left" vertical="center" wrapText="1"/>
    </xf>
    <xf numFmtId="9" fontId="18" fillId="3" borderId="2" xfId="0" applyNumberFormat="1" applyFont="1" applyFill="1" applyBorder="1" applyAlignment="1" applyProtection="1">
      <alignment horizontal="center" vertical="center" wrapText="1"/>
      <protection locked="0"/>
    </xf>
    <xf numFmtId="0" fontId="18" fillId="3" borderId="2" xfId="0" applyFont="1" applyFill="1" applyBorder="1" applyAlignment="1">
      <alignment horizontal="left" vertical="center" wrapText="1"/>
    </xf>
    <xf numFmtId="0" fontId="18" fillId="3" borderId="0" xfId="0" applyFont="1" applyFill="1" applyAlignment="1">
      <alignment horizontal="left" vertical="top" wrapText="1"/>
    </xf>
    <xf numFmtId="10" fontId="18" fillId="3" borderId="2" xfId="0" applyNumberFormat="1" applyFont="1" applyFill="1" applyBorder="1" applyAlignment="1" applyProtection="1">
      <alignment horizontal="center" vertical="center" wrapText="1"/>
      <protection locked="0"/>
    </xf>
    <xf numFmtId="169" fontId="18" fillId="3" borderId="2" xfId="0" applyNumberFormat="1" applyFont="1" applyFill="1" applyBorder="1" applyAlignment="1" applyProtection="1">
      <alignment horizontal="center" vertical="center" wrapText="1"/>
      <protection locked="0"/>
    </xf>
    <xf numFmtId="169" fontId="18" fillId="3" borderId="3" xfId="0" applyNumberFormat="1" applyFont="1" applyFill="1" applyBorder="1" applyAlignment="1" applyProtection="1">
      <alignment horizontal="center" vertical="center" wrapText="1"/>
      <protection locked="0"/>
    </xf>
    <xf numFmtId="0" fontId="18" fillId="3" borderId="3" xfId="0" applyFont="1" applyFill="1" applyBorder="1" applyAlignment="1" applyProtection="1">
      <alignment horizontal="left" vertical="center" wrapText="1"/>
      <protection locked="0"/>
    </xf>
    <xf numFmtId="9" fontId="39" fillId="3" borderId="5" xfId="0" applyNumberFormat="1" applyFont="1" applyFill="1" applyBorder="1" applyAlignment="1" applyProtection="1">
      <alignment horizontal="center" vertical="center" wrapText="1"/>
      <protection locked="0"/>
    </xf>
    <xf numFmtId="4" fontId="18" fillId="3" borderId="3" xfId="0" applyNumberFormat="1" applyFont="1" applyFill="1" applyBorder="1" applyAlignment="1" applyProtection="1">
      <alignment horizontal="center" vertical="center" wrapText="1"/>
      <protection locked="0"/>
    </xf>
    <xf numFmtId="9" fontId="18" fillId="3" borderId="7" xfId="0" applyNumberFormat="1" applyFont="1" applyFill="1" applyBorder="1" applyAlignment="1" applyProtection="1">
      <alignment horizontal="center" vertical="center" wrapText="1"/>
      <protection locked="0"/>
    </xf>
    <xf numFmtId="4" fontId="18" fillId="3" borderId="1" xfId="0" applyNumberFormat="1" applyFont="1" applyFill="1" applyBorder="1" applyAlignment="1" applyProtection="1">
      <alignment horizontal="center" vertical="center" wrapText="1"/>
      <protection locked="0"/>
    </xf>
    <xf numFmtId="9" fontId="37" fillId="3" borderId="9" xfId="0" applyNumberFormat="1" applyFont="1" applyFill="1" applyBorder="1" applyAlignment="1" applyProtection="1">
      <alignment horizontal="center" vertical="center" wrapText="1"/>
      <protection locked="0"/>
    </xf>
    <xf numFmtId="4" fontId="35" fillId="3" borderId="1" xfId="0" applyNumberFormat="1" applyFont="1" applyFill="1" applyBorder="1" applyAlignment="1" applyProtection="1">
      <alignment horizontal="center" vertical="center" wrapText="1"/>
      <protection locked="0"/>
    </xf>
    <xf numFmtId="9" fontId="18" fillId="3" borderId="10" xfId="0" applyNumberFormat="1" applyFont="1" applyFill="1" applyBorder="1" applyAlignment="1" applyProtection="1">
      <alignment horizontal="center" vertical="center" wrapText="1"/>
      <protection locked="0"/>
    </xf>
    <xf numFmtId="0" fontId="39" fillId="3" borderId="0" xfId="0" applyFont="1" applyFill="1" applyAlignment="1">
      <alignment horizontal="left" vertical="center" wrapText="1"/>
    </xf>
    <xf numFmtId="9" fontId="39" fillId="3" borderId="9" xfId="0" applyNumberFormat="1" applyFont="1" applyFill="1" applyBorder="1" applyAlignment="1" applyProtection="1">
      <alignment horizontal="center" vertical="center" wrapText="1"/>
      <protection locked="0"/>
    </xf>
    <xf numFmtId="49" fontId="43" fillId="3" borderId="2" xfId="0" applyNumberFormat="1" applyFont="1" applyFill="1" applyBorder="1" applyAlignment="1" applyProtection="1">
      <alignment horizontal="center" vertical="center" wrapText="1"/>
      <protection locked="0"/>
    </xf>
    <xf numFmtId="49" fontId="43" fillId="3" borderId="3" xfId="0" applyNumberFormat="1" applyFont="1" applyFill="1" applyBorder="1" applyAlignment="1" applyProtection="1">
      <alignment horizontal="center" vertical="center" wrapText="1"/>
      <protection locked="0"/>
    </xf>
    <xf numFmtId="9" fontId="34" fillId="0" borderId="1" xfId="0" applyNumberFormat="1"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4" fontId="33" fillId="0" borderId="3" xfId="0" applyNumberFormat="1" applyFont="1" applyFill="1" applyBorder="1" applyAlignment="1" applyProtection="1">
      <alignment horizontal="center" vertical="center" wrapText="1"/>
      <protection locked="0"/>
    </xf>
    <xf numFmtId="9" fontId="45" fillId="0" borderId="10" xfId="0" applyNumberFormat="1" applyFont="1" applyFill="1" applyBorder="1" applyAlignment="1" applyProtection="1">
      <alignment horizontal="center" vertical="center" wrapText="1"/>
      <protection locked="0"/>
    </xf>
    <xf numFmtId="2" fontId="16" fillId="6" borderId="1" xfId="0" applyNumberFormat="1" applyFont="1" applyFill="1" applyBorder="1" applyAlignment="1">
      <alignment horizontal="left" vertical="center" wrapText="1"/>
    </xf>
    <xf numFmtId="0" fontId="16" fillId="6" borderId="1" xfId="0" applyFont="1" applyFill="1" applyBorder="1" applyAlignment="1">
      <alignment horizontal="left" vertical="center" wrapText="1"/>
    </xf>
    <xf numFmtId="4" fontId="17" fillId="6" borderId="1" xfId="0" applyNumberFormat="1" applyFont="1" applyFill="1" applyBorder="1" applyAlignment="1">
      <alignment horizontal="center" vertical="center" wrapText="1"/>
    </xf>
    <xf numFmtId="4" fontId="44" fillId="3" borderId="5" xfId="0" applyNumberFormat="1" applyFont="1" applyFill="1" applyBorder="1" applyAlignment="1" applyProtection="1">
      <alignment horizontal="center" vertical="center" wrapText="1"/>
      <protection locked="0"/>
    </xf>
    <xf numFmtId="0" fontId="22" fillId="0" borderId="11" xfId="0" applyFont="1" applyFill="1" applyBorder="1" applyAlignment="1">
      <alignment horizontal="left" vertical="top" wrapText="1"/>
    </xf>
    <xf numFmtId="49" fontId="49" fillId="3" borderId="4" xfId="0" applyNumberFormat="1" applyFont="1" applyFill="1" applyBorder="1" applyAlignment="1" applyProtection="1">
      <alignment horizontal="center" vertical="center" wrapText="1"/>
      <protection locked="0"/>
    </xf>
    <xf numFmtId="0" fontId="49" fillId="3" borderId="1" xfId="0" applyFont="1" applyFill="1" applyBorder="1" applyAlignment="1" applyProtection="1">
      <alignment horizontal="left" vertical="center" wrapText="1"/>
      <protection locked="0"/>
    </xf>
    <xf numFmtId="4" fontId="49" fillId="3" borderId="1" xfId="0" applyNumberFormat="1" applyFont="1" applyFill="1" applyBorder="1" applyAlignment="1" applyProtection="1">
      <alignment horizontal="center" vertical="center" wrapText="1"/>
      <protection locked="0"/>
    </xf>
    <xf numFmtId="9" fontId="49" fillId="3" borderId="5" xfId="0" applyNumberFormat="1" applyFont="1" applyFill="1" applyBorder="1" applyAlignment="1" applyProtection="1">
      <alignment horizontal="center" vertical="center" wrapText="1"/>
      <protection locked="0"/>
    </xf>
    <xf numFmtId="169" fontId="49" fillId="3" borderId="5" xfId="0" applyNumberFormat="1" applyFont="1" applyFill="1" applyBorder="1" applyAlignment="1" applyProtection="1">
      <alignment horizontal="center" vertical="center" wrapText="1"/>
      <protection locked="0"/>
    </xf>
    <xf numFmtId="49" fontId="47" fillId="3" borderId="2" xfId="0" applyNumberFormat="1" applyFont="1" applyFill="1" applyBorder="1" applyAlignment="1" applyProtection="1">
      <alignment horizontal="center" vertical="center" wrapText="1"/>
      <protection locked="0"/>
    </xf>
    <xf numFmtId="0" fontId="48" fillId="3" borderId="7" xfId="0" applyFont="1" applyFill="1" applyBorder="1" applyAlignment="1" applyProtection="1">
      <alignment horizontal="left" vertical="center" wrapText="1"/>
      <protection locked="0"/>
    </xf>
    <xf numFmtId="4" fontId="48" fillId="3" borderId="3" xfId="0" applyNumberFormat="1" applyFont="1" applyFill="1" applyBorder="1" applyAlignment="1" applyProtection="1">
      <alignment horizontal="center" vertical="center" wrapText="1"/>
      <protection locked="0"/>
    </xf>
    <xf numFmtId="9" fontId="48" fillId="3" borderId="7" xfId="0" applyNumberFormat="1" applyFont="1" applyFill="1" applyBorder="1" applyAlignment="1" applyProtection="1">
      <alignment horizontal="center" vertical="center" wrapText="1"/>
      <protection locked="0"/>
    </xf>
    <xf numFmtId="9" fontId="48" fillId="3" borderId="5" xfId="0" applyNumberFormat="1" applyFont="1" applyFill="1" applyBorder="1" applyAlignment="1" applyProtection="1">
      <alignment horizontal="center" vertical="center" wrapText="1"/>
      <protection locked="0"/>
    </xf>
    <xf numFmtId="0" fontId="48" fillId="3" borderId="5" xfId="0" applyFont="1" applyFill="1" applyBorder="1" applyAlignment="1" applyProtection="1">
      <alignment horizontal="left" vertical="center" wrapText="1"/>
      <protection locked="0"/>
    </xf>
    <xf numFmtId="0" fontId="48" fillId="3" borderId="1" xfId="0" applyFont="1" applyFill="1" applyBorder="1" applyAlignment="1" applyProtection="1">
      <alignment horizontal="left" vertical="center" wrapText="1"/>
      <protection locked="0"/>
    </xf>
    <xf numFmtId="0" fontId="48" fillId="3" borderId="3" xfId="0" applyFont="1" applyFill="1" applyBorder="1" applyAlignment="1" applyProtection="1">
      <alignment horizontal="left" vertical="center" wrapText="1"/>
      <protection locked="0"/>
    </xf>
    <xf numFmtId="49" fontId="47" fillId="3" borderId="3" xfId="0" applyNumberFormat="1" applyFont="1" applyFill="1" applyBorder="1" applyAlignment="1" applyProtection="1">
      <alignment horizontal="center" vertical="center" wrapText="1"/>
      <protection locked="0"/>
    </xf>
    <xf numFmtId="49" fontId="50" fillId="3" borderId="4" xfId="0" applyNumberFormat="1" applyFont="1" applyFill="1" applyBorder="1" applyAlignment="1" applyProtection="1">
      <alignment horizontal="center" vertical="center" wrapText="1"/>
      <protection locked="0"/>
    </xf>
    <xf numFmtId="0" fontId="50" fillId="3" borderId="1" xfId="0" applyFont="1" applyFill="1" applyBorder="1" applyAlignment="1" applyProtection="1">
      <alignment horizontal="left" vertical="center" wrapText="1"/>
      <protection locked="0"/>
    </xf>
    <xf numFmtId="4" fontId="50" fillId="3" borderId="1" xfId="0" applyNumberFormat="1" applyFont="1" applyFill="1" applyBorder="1" applyAlignment="1" applyProtection="1">
      <alignment horizontal="center" vertical="center" wrapText="1"/>
      <protection locked="0"/>
    </xf>
    <xf numFmtId="9" fontId="50" fillId="3" borderId="5" xfId="0" applyNumberFormat="1" applyFont="1" applyFill="1" applyBorder="1" applyAlignment="1" applyProtection="1">
      <alignment horizontal="center" vertical="center" wrapText="1"/>
      <protection locked="0"/>
    </xf>
    <xf numFmtId="49" fontId="50" fillId="3" borderId="2" xfId="0" applyNumberFormat="1" applyFont="1" applyFill="1" applyBorder="1" applyAlignment="1" applyProtection="1">
      <alignment horizontal="center" vertical="center" wrapText="1"/>
      <protection locked="0"/>
    </xf>
    <xf numFmtId="4" fontId="48" fillId="3" borderId="1" xfId="0" applyNumberFormat="1" applyFont="1" applyFill="1" applyBorder="1" applyAlignment="1" applyProtection="1">
      <alignment horizontal="center" vertical="center" wrapText="1"/>
      <protection locked="0"/>
    </xf>
    <xf numFmtId="4" fontId="47" fillId="3" borderId="1" xfId="0" applyNumberFormat="1" applyFont="1" applyFill="1" applyBorder="1" applyAlignment="1" applyProtection="1">
      <alignment horizontal="center" vertical="center" wrapText="1"/>
      <protection locked="0"/>
    </xf>
    <xf numFmtId="4" fontId="47" fillId="3" borderId="3" xfId="0" applyNumberFormat="1" applyFont="1" applyFill="1" applyBorder="1" applyAlignment="1" applyProtection="1">
      <alignment horizontal="center" vertical="center" wrapText="1"/>
      <protection locked="0"/>
    </xf>
    <xf numFmtId="49" fontId="50" fillId="3" borderId="3" xfId="0" applyNumberFormat="1" applyFont="1" applyFill="1" applyBorder="1" applyAlignment="1" applyProtection="1">
      <alignment horizontal="center" vertical="center" wrapText="1"/>
      <protection locked="0"/>
    </xf>
    <xf numFmtId="169" fontId="48" fillId="3" borderId="5" xfId="0" applyNumberFormat="1" applyFont="1" applyFill="1" applyBorder="1" applyAlignment="1" applyProtection="1">
      <alignment horizontal="center" vertical="center" wrapText="1"/>
      <protection locked="0"/>
    </xf>
    <xf numFmtId="0" fontId="50" fillId="3" borderId="5" xfId="0" applyFont="1" applyFill="1" applyBorder="1" applyAlignment="1" applyProtection="1">
      <alignment horizontal="left" vertical="center" wrapText="1"/>
      <protection locked="0"/>
    </xf>
    <xf numFmtId="4" fontId="22" fillId="3" borderId="1" xfId="0" applyNumberFormat="1" applyFont="1" applyFill="1" applyBorder="1" applyAlignment="1" applyProtection="1">
      <alignment horizontal="center" vertical="center" wrapText="1"/>
      <protection locked="0"/>
    </xf>
    <xf numFmtId="49" fontId="51" fillId="3" borderId="4" xfId="0" applyNumberFormat="1" applyFont="1" applyFill="1" applyBorder="1" applyAlignment="1" applyProtection="1">
      <alignment horizontal="center" vertical="center" wrapText="1"/>
      <protection locked="0"/>
    </xf>
    <xf numFmtId="0" fontId="51" fillId="3" borderId="1" xfId="0" applyFont="1" applyFill="1" applyBorder="1" applyAlignment="1" applyProtection="1">
      <alignment horizontal="left" vertical="center" wrapText="1"/>
      <protection locked="0"/>
    </xf>
    <xf numFmtId="4" fontId="51" fillId="3" borderId="1" xfId="0" applyNumberFormat="1" applyFont="1" applyFill="1" applyBorder="1" applyAlignment="1" applyProtection="1">
      <alignment horizontal="center" vertical="center" wrapText="1"/>
      <protection locked="0"/>
    </xf>
    <xf numFmtId="9" fontId="51" fillId="3" borderId="5" xfId="0" applyNumberFormat="1" applyFont="1" applyFill="1" applyBorder="1" applyAlignment="1" applyProtection="1">
      <alignment horizontal="center" vertical="center" wrapText="1"/>
      <protection locked="0"/>
    </xf>
    <xf numFmtId="169" fontId="51" fillId="3" borderId="5" xfId="0" applyNumberFormat="1" applyFont="1" applyFill="1" applyBorder="1" applyAlignment="1" applyProtection="1">
      <alignment horizontal="center" vertical="center" wrapText="1"/>
      <protection locked="0"/>
    </xf>
    <xf numFmtId="0" fontId="32" fillId="0" borderId="4" xfId="0" applyFont="1" applyFill="1" applyBorder="1" applyAlignment="1" applyProtection="1">
      <alignment horizontal="left" vertical="center" wrapText="1"/>
      <protection locked="0"/>
    </xf>
    <xf numFmtId="0" fontId="50" fillId="3" borderId="0" xfId="0" applyFont="1" applyFill="1" applyAlignment="1">
      <alignment horizontal="left" vertical="center" wrapText="1"/>
    </xf>
    <xf numFmtId="49" fontId="51" fillId="3" borderId="2" xfId="0" applyNumberFormat="1" applyFont="1" applyFill="1" applyBorder="1" applyAlignment="1" applyProtection="1">
      <alignment horizontal="center" vertical="center" wrapText="1"/>
      <protection locked="0"/>
    </xf>
    <xf numFmtId="0" fontId="52" fillId="3" borderId="5" xfId="0" applyFont="1" applyFill="1" applyBorder="1" applyAlignment="1" applyProtection="1">
      <alignment horizontal="left" vertical="center" wrapText="1"/>
      <protection locked="0"/>
    </xf>
    <xf numFmtId="4" fontId="52" fillId="3" borderId="1" xfId="0" applyNumberFormat="1" applyFont="1" applyFill="1" applyBorder="1" applyAlignment="1" applyProtection="1">
      <alignment horizontal="center" vertical="center" wrapText="1"/>
      <protection locked="0"/>
    </xf>
    <xf numFmtId="9" fontId="52" fillId="3" borderId="5" xfId="0" applyNumberFormat="1" applyFont="1" applyFill="1" applyBorder="1" applyAlignment="1" applyProtection="1">
      <alignment horizontal="center" vertical="center" wrapText="1"/>
      <protection locked="0"/>
    </xf>
    <xf numFmtId="0" fontId="48" fillId="3" borderId="0" xfId="0" applyFont="1" applyFill="1" applyAlignment="1">
      <alignment horizontal="left" vertical="top" wrapText="1"/>
    </xf>
    <xf numFmtId="169" fontId="52" fillId="3" borderId="5" xfId="0" applyNumberFormat="1" applyFont="1" applyFill="1" applyBorder="1" applyAlignment="1" applyProtection="1">
      <alignment horizontal="center" vertical="center" wrapText="1"/>
      <protection locked="0"/>
    </xf>
    <xf numFmtId="0" fontId="52" fillId="3" borderId="7" xfId="0" applyFont="1" applyFill="1" applyBorder="1" applyAlignment="1" applyProtection="1">
      <alignment horizontal="left" vertical="center" wrapText="1"/>
      <protection locked="0"/>
    </xf>
    <xf numFmtId="4" fontId="52" fillId="3" borderId="3" xfId="0" applyNumberFormat="1" applyFont="1" applyFill="1" applyBorder="1" applyAlignment="1" applyProtection="1">
      <alignment horizontal="center" vertical="center" wrapText="1"/>
      <protection locked="0"/>
    </xf>
    <xf numFmtId="49" fontId="51" fillId="3" borderId="3" xfId="0" applyNumberFormat="1" applyFont="1" applyFill="1" applyBorder="1" applyAlignment="1" applyProtection="1">
      <alignment horizontal="center" vertical="center" wrapText="1"/>
      <protection locked="0"/>
    </xf>
    <xf numFmtId="0" fontId="52" fillId="3" borderId="5" xfId="0" applyNumberFormat="1" applyFont="1" applyFill="1" applyBorder="1" applyAlignment="1" applyProtection="1">
      <alignment horizontal="center" vertical="center" wrapText="1"/>
      <protection locked="0"/>
    </xf>
    <xf numFmtId="2" fontId="52" fillId="3" borderId="5" xfId="0" applyNumberFormat="1" applyFont="1" applyFill="1" applyBorder="1" applyAlignment="1" applyProtection="1">
      <alignment horizontal="center" vertical="center" wrapText="1"/>
      <protection locked="0"/>
    </xf>
    <xf numFmtId="9" fontId="32" fillId="0" borderId="5" xfId="0" applyNumberFormat="1" applyFont="1" applyFill="1" applyBorder="1" applyAlignment="1" applyProtection="1">
      <alignment horizontal="center" vertical="center" wrapText="1"/>
      <protection locked="0"/>
    </xf>
    <xf numFmtId="169" fontId="32" fillId="0" borderId="7" xfId="0" applyNumberFormat="1" applyFont="1" applyFill="1" applyBorder="1" applyAlignment="1" applyProtection="1">
      <alignment horizontal="center" vertical="center" wrapText="1"/>
      <protection locked="0"/>
    </xf>
    <xf numFmtId="4" fontId="32" fillId="0" borderId="9" xfId="0" applyNumberFormat="1" applyFont="1" applyFill="1" applyBorder="1" applyAlignment="1" applyProtection="1">
      <alignment horizontal="center" vertical="center" wrapText="1"/>
      <protection locked="0"/>
    </xf>
    <xf numFmtId="9" fontId="50" fillId="3" borderId="9" xfId="0" applyNumberFormat="1" applyFont="1" applyFill="1" applyBorder="1" applyAlignment="1" applyProtection="1">
      <alignment horizontal="center" vertical="center" wrapText="1"/>
      <protection locked="0"/>
    </xf>
    <xf numFmtId="0" fontId="47" fillId="3" borderId="0" xfId="0" applyFont="1" applyFill="1" applyAlignment="1">
      <alignment horizontal="left" vertical="center" wrapText="1"/>
    </xf>
    <xf numFmtId="9" fontId="48" fillId="3" borderId="10" xfId="0" applyNumberFormat="1" applyFont="1" applyFill="1" applyBorder="1" applyAlignment="1" applyProtection="1">
      <alignment horizontal="center" vertical="center" wrapText="1"/>
      <protection locked="0"/>
    </xf>
    <xf numFmtId="4" fontId="53" fillId="3" borderId="3" xfId="0" applyNumberFormat="1" applyFont="1" applyFill="1" applyBorder="1" applyAlignment="1" applyProtection="1">
      <alignment horizontal="center" vertical="center" wrapText="1"/>
      <protection locked="0"/>
    </xf>
    <xf numFmtId="4" fontId="53" fillId="3" borderId="1" xfId="0" applyNumberFormat="1" applyFont="1" applyFill="1" applyBorder="1" applyAlignment="1" applyProtection="1">
      <alignment horizontal="center" vertical="center" wrapText="1"/>
      <protection locked="0"/>
    </xf>
    <xf numFmtId="2" fontId="48" fillId="3" borderId="5" xfId="0" applyNumberFormat="1" applyFont="1" applyFill="1" applyBorder="1" applyAlignment="1" applyProtection="1">
      <alignment horizontal="center" vertical="center" wrapText="1"/>
      <protection locked="0"/>
    </xf>
    <xf numFmtId="4" fontId="22" fillId="0" borderId="5" xfId="0" applyNumberFormat="1" applyFont="1" applyFill="1" applyBorder="1" applyAlignment="1" applyProtection="1">
      <alignment horizontal="center" vertical="center" wrapText="1"/>
      <protection locked="0"/>
    </xf>
    <xf numFmtId="4" fontId="34" fillId="3" borderId="5" xfId="0" applyNumberFormat="1" applyFont="1" applyFill="1" applyBorder="1" applyAlignment="1" applyProtection="1">
      <alignment horizontal="center" vertical="center" wrapText="1"/>
      <protection locked="0"/>
    </xf>
    <xf numFmtId="4" fontId="34" fillId="0" borderId="1" xfId="0" applyNumberFormat="1" applyFont="1" applyFill="1" applyBorder="1" applyAlignment="1" applyProtection="1">
      <alignment horizontal="center" vertical="center" wrapText="1"/>
      <protection locked="0"/>
    </xf>
    <xf numFmtId="9" fontId="34" fillId="0" borderId="7" xfId="0" applyNumberFormat="1" applyFont="1" applyFill="1" applyBorder="1" applyAlignment="1" applyProtection="1">
      <alignment horizontal="center" vertical="center" wrapText="1"/>
      <protection locked="0"/>
    </xf>
    <xf numFmtId="9" fontId="34" fillId="0" borderId="3" xfId="0" applyNumberFormat="1" applyFont="1" applyFill="1" applyBorder="1" applyAlignment="1" applyProtection="1">
      <alignment horizontal="center" vertical="center" wrapText="1"/>
      <protection locked="0"/>
    </xf>
    <xf numFmtId="4" fontId="32" fillId="3" borderId="1" xfId="0" applyNumberFormat="1" applyFont="1" applyFill="1" applyBorder="1" applyAlignment="1" applyProtection="1">
      <alignment horizontal="center" vertical="center" wrapText="1"/>
      <protection locked="0"/>
    </xf>
    <xf numFmtId="9" fontId="33" fillId="3" borderId="1" xfId="0" applyNumberFormat="1" applyFont="1" applyFill="1" applyBorder="1" applyAlignment="1" applyProtection="1">
      <alignment horizontal="center" vertical="center" wrapText="1"/>
      <protection locked="0"/>
    </xf>
    <xf numFmtId="9" fontId="33" fillId="3" borderId="5" xfId="0" applyNumberFormat="1" applyFont="1" applyFill="1" applyBorder="1" applyAlignment="1" applyProtection="1">
      <alignment horizontal="center" vertical="center" wrapText="1"/>
      <protection locked="0"/>
    </xf>
    <xf numFmtId="4" fontId="33" fillId="3" borderId="1" xfId="0" applyNumberFormat="1" applyFont="1" applyFill="1" applyBorder="1" applyAlignment="1" applyProtection="1">
      <alignment horizontal="center" vertical="center" wrapText="1"/>
      <protection locked="0"/>
    </xf>
    <xf numFmtId="0" fontId="22" fillId="3" borderId="4" xfId="0" applyFont="1" applyFill="1" applyBorder="1" applyAlignment="1" applyProtection="1">
      <alignment vertical="center" wrapText="1"/>
      <protection locked="0"/>
    </xf>
    <xf numFmtId="9" fontId="18" fillId="3" borderId="9" xfId="0" applyNumberFormat="1" applyFont="1" applyFill="1" applyBorder="1" applyAlignment="1" applyProtection="1">
      <alignment horizontal="justify" vertical="center" wrapText="1"/>
      <protection locked="0"/>
    </xf>
    <xf numFmtId="4" fontId="52" fillId="3" borderId="5" xfId="0" applyNumberFormat="1" applyFont="1" applyFill="1" applyBorder="1" applyAlignment="1" applyProtection="1">
      <alignment horizontal="center" vertical="center" wrapText="1"/>
      <protection locked="0"/>
    </xf>
    <xf numFmtId="4" fontId="49" fillId="3" borderId="5" xfId="0" applyNumberFormat="1" applyFont="1" applyFill="1" applyBorder="1" applyAlignment="1" applyProtection="1">
      <alignment horizontal="center" vertical="center" wrapText="1"/>
      <protection locked="0"/>
    </xf>
    <xf numFmtId="4" fontId="48" fillId="3" borderId="5" xfId="0" applyNumberFormat="1" applyFont="1" applyFill="1" applyBorder="1" applyAlignment="1" applyProtection="1">
      <alignment horizontal="center" vertical="center" wrapText="1"/>
      <protection locked="0"/>
    </xf>
    <xf numFmtId="9" fontId="22" fillId="3" borderId="3" xfId="0" applyNumberFormat="1" applyFont="1" applyFill="1" applyBorder="1" applyAlignment="1" applyProtection="1">
      <alignment horizontal="center" vertical="center" wrapText="1"/>
      <protection locked="0"/>
    </xf>
    <xf numFmtId="9" fontId="22" fillId="3" borderId="7" xfId="0" applyNumberFormat="1" applyFont="1" applyFill="1" applyBorder="1" applyAlignment="1" applyProtection="1">
      <alignment horizontal="center" vertical="center" wrapText="1"/>
      <protection locked="0"/>
    </xf>
    <xf numFmtId="0" fontId="48" fillId="3" borderId="4" xfId="0" applyFont="1" applyFill="1" applyBorder="1" applyAlignment="1" applyProtection="1">
      <alignment horizontal="justify" vertical="top" wrapText="1"/>
      <protection locked="0"/>
    </xf>
    <xf numFmtId="0" fontId="18" fillId="3" borderId="4" xfId="0" applyFont="1" applyFill="1" applyBorder="1" applyAlignment="1" applyProtection="1">
      <alignment horizontal="left" vertical="top" wrapText="1"/>
      <protection locked="0"/>
    </xf>
    <xf numFmtId="0" fontId="18" fillId="3" borderId="2" xfId="0" applyFont="1" applyFill="1" applyBorder="1" applyAlignment="1" applyProtection="1">
      <alignment horizontal="left" vertical="top" wrapText="1"/>
      <protection locked="0"/>
    </xf>
    <xf numFmtId="0" fontId="48" fillId="3" borderId="4" xfId="0" applyFont="1" applyFill="1" applyBorder="1" applyAlignment="1" applyProtection="1">
      <alignment horizontal="left" vertical="top" wrapText="1"/>
      <protection locked="0"/>
    </xf>
    <xf numFmtId="0" fontId="18" fillId="3" borderId="2" xfId="0" applyFont="1" applyFill="1" applyBorder="1" applyAlignment="1" applyProtection="1">
      <alignment horizontal="left" vertical="center" wrapText="1"/>
      <protection locked="0"/>
    </xf>
    <xf numFmtId="0" fontId="35" fillId="3" borderId="1" xfId="0" applyFont="1" applyFill="1" applyBorder="1" applyAlignment="1" applyProtection="1">
      <alignment horizontal="left" vertical="top" wrapText="1"/>
      <protection locked="0"/>
    </xf>
    <xf numFmtId="0" fontId="40" fillId="3" borderId="4" xfId="0" applyFont="1" applyFill="1" applyBorder="1" applyAlignment="1" applyProtection="1">
      <alignment horizontal="left" vertical="top" wrapText="1"/>
      <protection locked="0"/>
    </xf>
    <xf numFmtId="0" fontId="21" fillId="0" borderId="0" xfId="0" quotePrefix="1" applyFont="1" applyFill="1" applyBorder="1" applyAlignment="1" applyProtection="1">
      <alignment horizontal="center" vertical="center" wrapText="1"/>
      <protection locked="0"/>
    </xf>
    <xf numFmtId="165" fontId="22" fillId="3" borderId="5" xfId="0" applyNumberFormat="1" applyFont="1" applyFill="1" applyBorder="1" applyAlignment="1" applyProtection="1">
      <alignment horizontal="center" vertical="center" wrapText="1"/>
      <protection locked="0"/>
    </xf>
    <xf numFmtId="0" fontId="22" fillId="3" borderId="4" xfId="0" applyFont="1" applyFill="1" applyBorder="1" applyAlignment="1" applyProtection="1">
      <alignment horizontal="center" vertical="center" wrapText="1"/>
      <protection locked="0"/>
    </xf>
    <xf numFmtId="4" fontId="22" fillId="3" borderId="4" xfId="0" applyNumberFormat="1" applyFont="1" applyFill="1" applyBorder="1" applyAlignment="1" applyProtection="1">
      <alignment horizontal="center" vertical="center" wrapText="1"/>
      <protection locked="0"/>
    </xf>
    <xf numFmtId="4" fontId="22" fillId="3" borderId="3" xfId="0" applyNumberFormat="1" applyFont="1" applyFill="1" applyBorder="1" applyAlignment="1" applyProtection="1">
      <alignment horizontal="center" vertical="center" wrapText="1"/>
      <protection locked="0"/>
    </xf>
    <xf numFmtId="4" fontId="22" fillId="3" borderId="5" xfId="0" applyNumberFormat="1" applyFont="1" applyFill="1" applyBorder="1" applyAlignment="1" applyProtection="1">
      <alignment horizontal="center" vertical="center" wrapText="1"/>
      <protection locked="0"/>
    </xf>
    <xf numFmtId="4" fontId="22" fillId="3" borderId="4" xfId="0" quotePrefix="1" applyNumberFormat="1" applyFont="1" applyFill="1" applyBorder="1" applyAlignment="1" applyProtection="1">
      <alignment horizontal="center" vertical="center" wrapText="1"/>
      <protection locked="0"/>
    </xf>
    <xf numFmtId="2" fontId="22" fillId="3" borderId="4" xfId="0" applyNumberFormat="1" applyFont="1" applyFill="1" applyBorder="1" applyAlignment="1" applyProtection="1">
      <alignment horizontal="center" vertical="center" wrapText="1"/>
      <protection locked="0"/>
    </xf>
    <xf numFmtId="2" fontId="22" fillId="3" borderId="2" xfId="0" applyNumberFormat="1" applyFont="1" applyFill="1" applyBorder="1" applyAlignment="1" applyProtection="1">
      <alignment horizontal="center" vertical="center" wrapText="1"/>
      <protection locked="0"/>
    </xf>
    <xf numFmtId="2" fontId="22" fillId="3" borderId="3" xfId="0" applyNumberFormat="1" applyFont="1" applyFill="1" applyBorder="1" applyAlignment="1" applyProtection="1">
      <alignment horizontal="center" vertical="center" wrapText="1"/>
      <protection locked="0"/>
    </xf>
    <xf numFmtId="165" fontId="22" fillId="3" borderId="5" xfId="0" quotePrefix="1" applyNumberFormat="1" applyFont="1" applyFill="1" applyBorder="1" applyAlignment="1" applyProtection="1">
      <alignment horizontal="center" vertical="center" wrapText="1"/>
      <protection locked="0"/>
    </xf>
    <xf numFmtId="0" fontId="22" fillId="3" borderId="4" xfId="0" applyFont="1" applyFill="1" applyBorder="1" applyAlignment="1" applyProtection="1">
      <alignment horizontal="left" vertical="top" wrapText="1"/>
      <protection locked="0"/>
    </xf>
    <xf numFmtId="0" fontId="22" fillId="0" borderId="4" xfId="0" applyFont="1" applyFill="1" applyBorder="1" applyAlignment="1" applyProtection="1">
      <alignment horizontal="left" vertical="center" wrapText="1"/>
      <protection locked="0"/>
    </xf>
    <xf numFmtId="0" fontId="22" fillId="0" borderId="4" xfId="0" applyFont="1" applyFill="1" applyBorder="1" applyAlignment="1" applyProtection="1">
      <alignment horizontal="left" vertical="top" wrapText="1"/>
      <protection locked="0"/>
    </xf>
    <xf numFmtId="0" fontId="33" fillId="0" borderId="4" xfId="0" applyFont="1" applyFill="1" applyBorder="1" applyAlignment="1" applyProtection="1">
      <alignment horizontal="left" vertical="top" wrapText="1"/>
      <protection locked="0"/>
    </xf>
    <xf numFmtId="0" fontId="32" fillId="0" borderId="4" xfId="0" applyFont="1" applyFill="1" applyBorder="1" applyAlignment="1" applyProtection="1">
      <alignment horizontal="left" vertical="top" wrapText="1"/>
      <protection locked="0"/>
    </xf>
    <xf numFmtId="0" fontId="33" fillId="0" borderId="4" xfId="0" applyFont="1" applyFill="1" applyBorder="1" applyAlignment="1" applyProtection="1">
      <alignment horizontal="left" vertical="center" wrapText="1"/>
      <protection locked="0"/>
    </xf>
    <xf numFmtId="0" fontId="32" fillId="3" borderId="4" xfId="0" applyFont="1" applyFill="1" applyBorder="1" applyAlignment="1" applyProtection="1">
      <alignment horizontal="left" vertical="top" wrapText="1"/>
      <protection locked="0"/>
    </xf>
    <xf numFmtId="0" fontId="26" fillId="0" borderId="4" xfId="0"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0" fontId="33" fillId="3" borderId="4" xfId="0" applyFont="1" applyFill="1" applyBorder="1" applyAlignment="1" applyProtection="1">
      <alignment horizontal="left" vertical="top" wrapText="1"/>
      <protection locked="0"/>
    </xf>
    <xf numFmtId="2" fontId="49" fillId="3" borderId="1" xfId="0" applyNumberFormat="1" applyFont="1" applyFill="1" applyBorder="1" applyAlignment="1" applyProtection="1">
      <alignment horizontal="center" vertical="center" wrapText="1"/>
      <protection locked="0"/>
    </xf>
    <xf numFmtId="0" fontId="35" fillId="3" borderId="4" xfId="0" applyFont="1" applyFill="1" applyBorder="1" applyAlignment="1" applyProtection="1">
      <alignment horizontal="center" vertical="center" wrapText="1"/>
      <protection locked="0"/>
    </xf>
    <xf numFmtId="0" fontId="35" fillId="3" borderId="1" xfId="0" applyFont="1" applyFill="1" applyBorder="1" applyAlignment="1" applyProtection="1">
      <alignment horizontal="left" vertical="center" wrapText="1"/>
      <protection locked="0"/>
    </xf>
    <xf numFmtId="9" fontId="35" fillId="3" borderId="1" xfId="0" applyNumberFormat="1" applyFont="1" applyFill="1" applyBorder="1" applyAlignment="1" applyProtection="1">
      <alignment horizontal="center" vertical="center" wrapText="1"/>
      <protection locked="0"/>
    </xf>
    <xf numFmtId="169" fontId="35" fillId="3" borderId="1" xfId="0" applyNumberFormat="1" applyFont="1" applyFill="1" applyBorder="1" applyAlignment="1" applyProtection="1">
      <alignment horizontal="center" vertical="center" wrapText="1"/>
      <protection locked="0"/>
    </xf>
    <xf numFmtId="4" fontId="36" fillId="3"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left" vertical="center" wrapText="1"/>
      <protection locked="0"/>
    </xf>
    <xf numFmtId="169" fontId="18" fillId="3" borderId="1" xfId="0" applyNumberFormat="1" applyFont="1" applyFill="1" applyBorder="1" applyAlignment="1" applyProtection="1">
      <alignment horizontal="center" vertical="center" wrapText="1"/>
      <protection locked="0"/>
    </xf>
    <xf numFmtId="4" fontId="38" fillId="3" borderId="1" xfId="0" applyNumberFormat="1" applyFont="1" applyFill="1" applyBorder="1" applyAlignment="1" applyProtection="1">
      <alignment horizontal="center" vertical="center" wrapText="1"/>
      <protection locked="0"/>
    </xf>
    <xf numFmtId="9" fontId="18" fillId="3" borderId="1" xfId="0" applyNumberFormat="1" applyFont="1" applyFill="1" applyBorder="1" applyAlignment="1" applyProtection="1">
      <alignment horizontal="center" vertical="center" wrapText="1"/>
      <protection locked="0"/>
    </xf>
    <xf numFmtId="0" fontId="35" fillId="3" borderId="2" xfId="0" applyFont="1" applyFill="1" applyBorder="1" applyAlignment="1" applyProtection="1">
      <alignment vertical="center" wrapText="1"/>
      <protection locked="0"/>
    </xf>
    <xf numFmtId="4" fontId="38" fillId="3" borderId="3" xfId="0" applyNumberFormat="1" applyFont="1" applyFill="1" applyBorder="1" applyAlignment="1" applyProtection="1">
      <alignment horizontal="center" vertical="center" wrapText="1"/>
      <protection locked="0"/>
    </xf>
    <xf numFmtId="9" fontId="18" fillId="3" borderId="3" xfId="0" applyNumberFormat="1" applyFont="1" applyFill="1" applyBorder="1" applyAlignment="1" applyProtection="1">
      <alignment horizontal="center" vertical="center" wrapText="1"/>
      <protection locked="0"/>
    </xf>
    <xf numFmtId="0" fontId="47" fillId="3" borderId="2" xfId="0" applyFont="1" applyFill="1" applyBorder="1" applyAlignment="1" applyProtection="1">
      <alignment vertical="center" wrapText="1"/>
      <protection locked="0"/>
    </xf>
    <xf numFmtId="169" fontId="48" fillId="3" borderId="1" xfId="0" applyNumberFormat="1" applyFont="1" applyFill="1" applyBorder="1" applyAlignment="1" applyProtection="1">
      <alignment horizontal="center" vertical="center" wrapText="1"/>
      <protection locked="0"/>
    </xf>
    <xf numFmtId="9" fontId="48" fillId="3" borderId="1" xfId="0" applyNumberFormat="1" applyFont="1" applyFill="1" applyBorder="1" applyAlignment="1" applyProtection="1">
      <alignment horizontal="center" vertical="center" wrapText="1"/>
      <protection locked="0"/>
    </xf>
    <xf numFmtId="0" fontId="47" fillId="3" borderId="3" xfId="0" applyFont="1" applyFill="1" applyBorder="1" applyAlignment="1" applyProtection="1">
      <alignment vertical="center" wrapText="1"/>
      <protection locked="0"/>
    </xf>
    <xf numFmtId="1" fontId="22" fillId="0" borderId="0" xfId="0" applyNumberFormat="1" applyFont="1" applyFill="1" applyBorder="1" applyAlignment="1" applyProtection="1">
      <alignment horizontal="right" vertical="center" wrapText="1"/>
      <protection locked="0"/>
    </xf>
    <xf numFmtId="0" fontId="22" fillId="0" borderId="0" xfId="0" applyFont="1" applyFill="1" applyAlignment="1">
      <alignment horizontal="left" vertical="top" wrapText="1"/>
    </xf>
    <xf numFmtId="0" fontId="26" fillId="0" borderId="0" xfId="0" applyFont="1" applyFill="1" applyAlignment="1">
      <alignment horizontal="left" vertical="top" wrapText="1"/>
    </xf>
    <xf numFmtId="0" fontId="26" fillId="0" borderId="0" xfId="0" applyFont="1" applyFill="1" applyAlignment="1">
      <alignment horizontal="left" vertical="center" wrapText="1"/>
    </xf>
    <xf numFmtId="0" fontId="25" fillId="0" borderId="0" xfId="0" applyFont="1" applyFill="1" applyAlignment="1">
      <alignment horizontal="left" vertical="center" wrapText="1"/>
    </xf>
    <xf numFmtId="0" fontId="27" fillId="0" borderId="0" xfId="0" applyFont="1" applyFill="1" applyAlignment="1">
      <alignment horizontal="left" vertical="center" wrapText="1"/>
    </xf>
    <xf numFmtId="0" fontId="35" fillId="0" borderId="1" xfId="0" applyFont="1" applyFill="1" applyBorder="1" applyAlignment="1" applyProtection="1">
      <alignment horizontal="left" vertical="center" wrapText="1"/>
      <protection locked="0"/>
    </xf>
    <xf numFmtId="4" fontId="35" fillId="0" borderId="1" xfId="0" applyNumberFormat="1" applyFont="1" applyFill="1" applyBorder="1" applyAlignment="1" applyProtection="1">
      <alignment horizontal="center" vertical="center" wrapText="1"/>
      <protection locked="0"/>
    </xf>
    <xf numFmtId="4" fontId="36" fillId="0" borderId="1" xfId="0" applyNumberFormat="1" applyFont="1" applyFill="1" applyBorder="1" applyAlignment="1" applyProtection="1">
      <alignment horizontal="center" vertical="center" wrapText="1"/>
      <protection locked="0"/>
    </xf>
    <xf numFmtId="0" fontId="37" fillId="0" borderId="0" xfId="0" applyFont="1" applyFill="1" applyAlignment="1">
      <alignment horizontal="left" vertical="center" wrapText="1"/>
    </xf>
    <xf numFmtId="0" fontId="18" fillId="0" borderId="1" xfId="0" applyFont="1" applyFill="1" applyBorder="1" applyAlignment="1" applyProtection="1">
      <alignment horizontal="left" vertical="center" wrapText="1"/>
      <protection locked="0"/>
    </xf>
    <xf numFmtId="4" fontId="18" fillId="0" borderId="1" xfId="0" applyNumberFormat="1" applyFont="1" applyFill="1" applyBorder="1" applyAlignment="1" applyProtection="1">
      <alignment horizontal="center" vertical="center" wrapText="1"/>
      <protection locked="0"/>
    </xf>
    <xf numFmtId="169" fontId="18" fillId="0" borderId="1" xfId="0" applyNumberFormat="1" applyFont="1" applyFill="1" applyBorder="1" applyAlignment="1" applyProtection="1">
      <alignment horizontal="center" vertical="center" wrapText="1"/>
      <protection locked="0"/>
    </xf>
    <xf numFmtId="4" fontId="38" fillId="0" borderId="1" xfId="0" applyNumberFormat="1" applyFont="1" applyFill="1" applyBorder="1" applyAlignment="1" applyProtection="1">
      <alignment horizontal="center" vertical="center" wrapText="1"/>
      <protection locked="0"/>
    </xf>
    <xf numFmtId="0" fontId="18" fillId="0" borderId="0" xfId="0" applyFont="1" applyFill="1" applyAlignment="1">
      <alignment horizontal="left" vertical="top" wrapText="1"/>
    </xf>
    <xf numFmtId="4" fontId="48" fillId="0" borderId="1" xfId="0" applyNumberFormat="1" applyFont="1" applyFill="1" applyBorder="1" applyAlignment="1" applyProtection="1">
      <alignment horizontal="center" vertical="center" wrapText="1"/>
      <protection locked="0"/>
    </xf>
    <xf numFmtId="0" fontId="48" fillId="0" borderId="1" xfId="0" applyFont="1" applyFill="1" applyBorder="1" applyAlignment="1" applyProtection="1">
      <alignment horizontal="left" vertical="center" wrapText="1"/>
      <protection locked="0"/>
    </xf>
    <xf numFmtId="169" fontId="48" fillId="0" borderId="1" xfId="0" applyNumberFormat="1" applyFont="1" applyFill="1" applyBorder="1" applyAlignment="1" applyProtection="1">
      <alignment horizontal="center" vertical="center" wrapText="1"/>
      <protection locked="0"/>
    </xf>
    <xf numFmtId="9" fontId="48" fillId="0" borderId="1" xfId="0" applyNumberFormat="1" applyFont="1" applyFill="1" applyBorder="1" applyAlignment="1" applyProtection="1">
      <alignment horizontal="center" vertical="center" wrapText="1"/>
      <protection locked="0"/>
    </xf>
    <xf numFmtId="0" fontId="49" fillId="0" borderId="1" xfId="0" applyFont="1" applyFill="1" applyBorder="1" applyAlignment="1" applyProtection="1">
      <alignment horizontal="left" vertical="center" wrapText="1"/>
      <protection locked="0"/>
    </xf>
    <xf numFmtId="4" fontId="49" fillId="0" borderId="1" xfId="0" applyNumberFormat="1" applyFont="1" applyFill="1" applyBorder="1" applyAlignment="1" applyProtection="1">
      <alignment horizontal="center" vertical="center" wrapText="1"/>
      <protection locked="0"/>
    </xf>
    <xf numFmtId="0" fontId="50" fillId="0" borderId="1" xfId="0" applyFont="1" applyFill="1" applyBorder="1" applyAlignment="1" applyProtection="1">
      <alignment horizontal="left" vertical="center" wrapText="1"/>
      <protection locked="0"/>
    </xf>
    <xf numFmtId="4" fontId="50" fillId="0" borderId="1" xfId="0" applyNumberFormat="1" applyFont="1" applyFill="1" applyBorder="1" applyAlignment="1" applyProtection="1">
      <alignment horizontal="center" vertical="center" wrapText="1"/>
      <protection locked="0"/>
    </xf>
    <xf numFmtId="4" fontId="47" fillId="0" borderId="1" xfId="0" applyNumberFormat="1" applyFont="1" applyFill="1" applyBorder="1" applyAlignment="1" applyProtection="1">
      <alignment horizontal="center" vertical="center" wrapText="1"/>
      <protection locked="0"/>
    </xf>
    <xf numFmtId="0" fontId="39" fillId="0" borderId="0" xfId="0" applyFont="1" applyFill="1" applyAlignment="1">
      <alignment horizontal="left" vertical="center" wrapText="1"/>
    </xf>
    <xf numFmtId="2" fontId="49" fillId="0" borderId="1" xfId="0" applyNumberFormat="1" applyFont="1" applyFill="1" applyBorder="1" applyAlignment="1" applyProtection="1">
      <alignment horizontal="center" vertical="center" wrapText="1"/>
      <protection locked="0"/>
    </xf>
    <xf numFmtId="0" fontId="50" fillId="0" borderId="0" xfId="0" applyFont="1" applyFill="1" applyAlignment="1">
      <alignment horizontal="left" vertical="center" wrapText="1"/>
    </xf>
    <xf numFmtId="0" fontId="48" fillId="0" borderId="0" xfId="0" applyFont="1" applyFill="1" applyAlignment="1">
      <alignment horizontal="left" vertical="top" wrapText="1"/>
    </xf>
    <xf numFmtId="0" fontId="51" fillId="0" borderId="1" xfId="0" applyFont="1" applyFill="1" applyBorder="1" applyAlignment="1" applyProtection="1">
      <alignment horizontal="left" vertical="center" wrapText="1"/>
      <protection locked="0"/>
    </xf>
    <xf numFmtId="4" fontId="51" fillId="0" borderId="1" xfId="0" applyNumberFormat="1" applyFont="1" applyFill="1" applyBorder="1" applyAlignment="1" applyProtection="1">
      <alignment horizontal="center" vertical="center" wrapText="1"/>
      <protection locked="0"/>
    </xf>
    <xf numFmtId="4" fontId="52" fillId="0" borderId="1" xfId="0" applyNumberFormat="1" applyFont="1" applyFill="1" applyBorder="1" applyAlignment="1" applyProtection="1">
      <alignment horizontal="center" vertical="center" wrapText="1"/>
      <protection locked="0"/>
    </xf>
    <xf numFmtId="0" fontId="47" fillId="0" borderId="0" xfId="0" applyFont="1" applyFill="1" applyAlignment="1">
      <alignment horizontal="left" vertical="center" wrapText="1"/>
    </xf>
    <xf numFmtId="4" fontId="53" fillId="0" borderId="1" xfId="0" applyNumberFormat="1" applyFont="1" applyFill="1" applyBorder="1" applyAlignment="1" applyProtection="1">
      <alignment horizontal="center" vertical="center" wrapText="1"/>
      <protection locked="0"/>
    </xf>
    <xf numFmtId="0" fontId="27" fillId="0" borderId="0" xfId="0" applyFont="1" applyFill="1" applyAlignment="1">
      <alignment horizontal="left" vertical="top" wrapText="1"/>
    </xf>
    <xf numFmtId="0" fontId="21" fillId="0" borderId="0" xfId="0" applyFont="1" applyFill="1" applyAlignment="1">
      <alignment horizontal="justify" wrapText="1"/>
    </xf>
    <xf numFmtId="0" fontId="22" fillId="0" borderId="0" xfId="0" applyFont="1" applyFill="1" applyAlignment="1">
      <alignment horizontal="justify" wrapText="1"/>
    </xf>
    <xf numFmtId="0" fontId="31"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vertical="center" wrapText="1"/>
      <protection locked="0"/>
    </xf>
    <xf numFmtId="0" fontId="26" fillId="0" borderId="1" xfId="0" applyFont="1" applyFill="1" applyBorder="1" applyAlignment="1" applyProtection="1">
      <alignment vertical="center" wrapText="1"/>
      <protection locked="0"/>
    </xf>
    <xf numFmtId="4" fontId="26" fillId="0" borderId="1" xfId="0" applyNumberFormat="1" applyFont="1" applyFill="1" applyBorder="1" applyAlignment="1" applyProtection="1">
      <alignment horizontal="justify" vertical="top" wrapText="1"/>
      <protection locked="0"/>
    </xf>
    <xf numFmtId="9" fontId="45"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vertical="center" wrapText="1"/>
      <protection locked="0"/>
    </xf>
    <xf numFmtId="4" fontId="27"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justify" vertical="center" wrapText="1"/>
      <protection locked="0"/>
    </xf>
    <xf numFmtId="169" fontId="32" fillId="0" borderId="1" xfId="0" applyNumberFormat="1" applyFont="1" applyFill="1" applyBorder="1" applyAlignment="1" applyProtection="1">
      <alignment horizontal="center" vertical="center" wrapText="1"/>
      <protection locked="0"/>
    </xf>
    <xf numFmtId="0" fontId="26" fillId="0" borderId="1" xfId="0" quotePrefix="1" applyFont="1" applyFill="1" applyBorder="1" applyAlignment="1" applyProtection="1">
      <alignment horizontal="center" vertical="center" wrapText="1"/>
      <protection locked="0"/>
    </xf>
    <xf numFmtId="9" fontId="35" fillId="0" borderId="1" xfId="0" applyNumberFormat="1" applyFont="1" applyFill="1" applyBorder="1" applyAlignment="1" applyProtection="1">
      <alignment horizontal="justify" vertical="center" wrapText="1"/>
      <protection locked="0"/>
    </xf>
    <xf numFmtId="9" fontId="18" fillId="0" borderId="1" xfId="0" applyNumberFormat="1" applyFont="1" applyFill="1" applyBorder="1" applyAlignment="1" applyProtection="1">
      <alignment horizontal="justify" vertical="center" wrapText="1"/>
      <protection locked="0"/>
    </xf>
    <xf numFmtId="0" fontId="35" fillId="0" borderId="1" xfId="0" applyFont="1" applyFill="1" applyBorder="1" applyAlignment="1" applyProtection="1">
      <alignment vertical="center" wrapText="1"/>
      <protection locked="0"/>
    </xf>
    <xf numFmtId="10" fontId="18" fillId="0" borderId="1" xfId="0" applyNumberFormat="1" applyFont="1" applyFill="1" applyBorder="1" applyAlignment="1" applyProtection="1">
      <alignment horizontal="justify" vertical="center" wrapText="1"/>
      <protection locked="0"/>
    </xf>
    <xf numFmtId="0" fontId="47" fillId="0" borderId="1" xfId="0" applyFont="1" applyFill="1" applyBorder="1" applyAlignment="1" applyProtection="1">
      <alignment vertical="center" wrapText="1"/>
      <protection locked="0"/>
    </xf>
    <xf numFmtId="169" fontId="18" fillId="0" borderId="1" xfId="0" applyNumberFormat="1" applyFont="1" applyFill="1" applyBorder="1" applyAlignment="1" applyProtection="1">
      <alignment horizontal="justify" vertical="center" wrapText="1"/>
      <protection locked="0"/>
    </xf>
    <xf numFmtId="49" fontId="49" fillId="0" borderId="1" xfId="0" applyNumberFormat="1" applyFont="1" applyFill="1" applyBorder="1" applyAlignment="1" applyProtection="1">
      <alignment horizontal="center" vertical="center" wrapText="1"/>
      <protection locked="0"/>
    </xf>
    <xf numFmtId="9" fontId="49" fillId="0" borderId="1" xfId="0" applyNumberFormat="1" applyFont="1" applyFill="1" applyBorder="1" applyAlignment="1" applyProtection="1">
      <alignment horizontal="center" vertical="center" wrapText="1"/>
      <protection locked="0"/>
    </xf>
    <xf numFmtId="169" fontId="49" fillId="0" borderId="1" xfId="0" applyNumberFormat="1" applyFont="1" applyFill="1" applyBorder="1" applyAlignment="1" applyProtection="1">
      <alignment horizontal="center" vertical="center" wrapText="1"/>
      <protection locked="0"/>
    </xf>
    <xf numFmtId="49" fontId="47" fillId="0" borderId="1" xfId="0" applyNumberFormat="1" applyFont="1" applyFill="1" applyBorder="1" applyAlignment="1" applyProtection="1">
      <alignment horizontal="center" vertical="center" wrapText="1"/>
      <protection locked="0"/>
    </xf>
    <xf numFmtId="49" fontId="50" fillId="0" borderId="1" xfId="0" applyNumberFormat="1" applyFont="1" applyFill="1" applyBorder="1" applyAlignment="1" applyProtection="1">
      <alignment horizontal="center" vertical="center" wrapText="1"/>
      <protection locked="0"/>
    </xf>
    <xf numFmtId="9" fontId="50" fillId="0" borderId="1" xfId="0" applyNumberFormat="1" applyFont="1" applyFill="1" applyBorder="1" applyAlignment="1" applyProtection="1">
      <alignment horizontal="center" vertical="center" wrapText="1"/>
      <protection locked="0"/>
    </xf>
    <xf numFmtId="9" fontId="37" fillId="0" borderId="1" xfId="0" applyNumberFormat="1" applyFont="1" applyFill="1" applyBorder="1" applyAlignment="1" applyProtection="1">
      <alignment horizontal="justify" vertical="center" wrapText="1"/>
      <protection locked="0"/>
    </xf>
    <xf numFmtId="9" fontId="39" fillId="0" borderId="1" xfId="0" applyNumberFormat="1" applyFont="1" applyFill="1" applyBorder="1" applyAlignment="1" applyProtection="1">
      <alignment horizontal="justify" vertical="center" wrapText="1"/>
      <protection locked="0"/>
    </xf>
    <xf numFmtId="2" fontId="48" fillId="0" borderId="1" xfId="0" applyNumberFormat="1" applyFont="1" applyFill="1" applyBorder="1" applyAlignment="1" applyProtection="1">
      <alignment horizontal="center" vertical="center" wrapText="1"/>
      <protection locked="0"/>
    </xf>
    <xf numFmtId="49" fontId="51" fillId="0" borderId="1" xfId="0" applyNumberFormat="1" applyFont="1" applyFill="1" applyBorder="1" applyAlignment="1" applyProtection="1">
      <alignment horizontal="center" vertical="center" wrapText="1"/>
      <protection locked="0"/>
    </xf>
    <xf numFmtId="9" fontId="51" fillId="0" borderId="1" xfId="0" applyNumberFormat="1" applyFont="1" applyFill="1" applyBorder="1" applyAlignment="1" applyProtection="1">
      <alignment horizontal="center" vertical="center" wrapText="1"/>
      <protection locked="0"/>
    </xf>
    <xf numFmtId="169" fontId="51" fillId="0" borderId="1" xfId="0" applyNumberFormat="1" applyFont="1" applyFill="1" applyBorder="1" applyAlignment="1" applyProtection="1">
      <alignment horizontal="center" vertical="center" wrapText="1"/>
      <protection locked="0"/>
    </xf>
    <xf numFmtId="2" fontId="52" fillId="0" borderId="1" xfId="0" applyNumberFormat="1" applyFont="1" applyFill="1" applyBorder="1" applyAlignment="1" applyProtection="1">
      <alignment horizontal="center" vertical="center" wrapText="1"/>
      <protection locked="0"/>
    </xf>
    <xf numFmtId="9" fontId="52" fillId="0" borderId="1" xfId="0" applyNumberFormat="1" applyFont="1" applyFill="1" applyBorder="1" applyAlignment="1" applyProtection="1">
      <alignment horizontal="center" vertical="center" wrapText="1"/>
      <protection locked="0"/>
    </xf>
    <xf numFmtId="0" fontId="52" fillId="0" borderId="1" xfId="0" applyFont="1" applyFill="1" applyBorder="1" applyAlignment="1" applyProtection="1">
      <alignment horizontal="left" vertical="center" wrapText="1"/>
      <protection locked="0"/>
    </xf>
    <xf numFmtId="169" fontId="52" fillId="0" borderId="1" xfId="0" applyNumberFormat="1" applyFont="1" applyFill="1" applyBorder="1" applyAlignment="1" applyProtection="1">
      <alignment horizontal="center" vertical="center" wrapText="1"/>
      <protection locked="0"/>
    </xf>
    <xf numFmtId="0" fontId="52" fillId="0" borderId="1" xfId="0" applyNumberFormat="1" applyFont="1" applyFill="1" applyBorder="1" applyAlignment="1" applyProtection="1">
      <alignment horizontal="center" vertical="center" wrapText="1"/>
      <protection locked="0"/>
    </xf>
    <xf numFmtId="49" fontId="43"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lignment horizontal="left" vertical="top" wrapText="1"/>
    </xf>
    <xf numFmtId="0" fontId="22" fillId="0" borderId="1" xfId="0" applyFont="1" applyFill="1" applyBorder="1" applyAlignment="1" applyProtection="1">
      <alignment horizontal="justify" vertical="top" wrapText="1"/>
      <protection locked="0"/>
    </xf>
    <xf numFmtId="0" fontId="22" fillId="0" borderId="1" xfId="0" applyFont="1" applyFill="1" applyBorder="1" applyAlignment="1" applyProtection="1">
      <alignment horizontal="center" vertical="center" wrapText="1"/>
      <protection locked="0"/>
    </xf>
    <xf numFmtId="4" fontId="22" fillId="0" borderId="0" xfId="0" applyNumberFormat="1" applyFont="1" applyFill="1" applyBorder="1" applyAlignment="1" applyProtection="1">
      <alignment horizontal="right" wrapText="1"/>
      <protection locked="0"/>
    </xf>
    <xf numFmtId="2" fontId="18" fillId="0" borderId="1" xfId="0" applyNumberFormat="1" applyFont="1" applyFill="1" applyBorder="1" applyAlignment="1" applyProtection="1">
      <alignment horizontal="center" vertical="center" wrapText="1"/>
      <protection locked="0"/>
    </xf>
    <xf numFmtId="2" fontId="18" fillId="0" borderId="1" xfId="0" applyNumberFormat="1" applyFont="1" applyFill="1" applyBorder="1" applyAlignment="1" applyProtection="1">
      <alignment horizontal="center" vertical="top" wrapText="1"/>
      <protection locked="0"/>
    </xf>
    <xf numFmtId="9" fontId="18" fillId="0" borderId="1" xfId="0" applyNumberFormat="1" applyFont="1" applyFill="1" applyBorder="1" applyAlignment="1" applyProtection="1">
      <alignment horizontal="center" vertical="top" wrapText="1"/>
      <protection locked="0"/>
    </xf>
    <xf numFmtId="4" fontId="18" fillId="0" borderId="1" xfId="0" applyNumberFormat="1" applyFont="1" applyFill="1" applyBorder="1" applyAlignment="1" applyProtection="1">
      <alignment horizontal="center" vertical="top" wrapText="1"/>
      <protection locked="0"/>
    </xf>
    <xf numFmtId="9" fontId="57" fillId="3" borderId="1" xfId="0" applyNumberFormat="1" applyFont="1" applyFill="1" applyBorder="1" applyAlignment="1" applyProtection="1">
      <alignment horizontal="justify" vertical="center" wrapText="1"/>
      <protection locked="0"/>
    </xf>
    <xf numFmtId="4" fontId="18" fillId="0" borderId="1" xfId="0" applyNumberFormat="1" applyFont="1" applyFill="1" applyBorder="1" applyAlignment="1" applyProtection="1">
      <alignment horizontal="center" vertical="center" wrapText="1"/>
      <protection locked="0"/>
    </xf>
    <xf numFmtId="4" fontId="58" fillId="0" borderId="1" xfId="0" applyNumberFormat="1" applyFont="1" applyFill="1" applyBorder="1" applyAlignment="1" applyProtection="1">
      <alignment horizontal="center" vertical="center" wrapText="1"/>
      <protection locked="0"/>
    </xf>
    <xf numFmtId="4" fontId="31" fillId="0" borderId="1" xfId="0" applyNumberFormat="1" applyFont="1" applyFill="1" applyBorder="1" applyAlignment="1" applyProtection="1">
      <alignment horizontal="center" vertical="center" wrapText="1"/>
      <protection locked="0"/>
    </xf>
    <xf numFmtId="4" fontId="35" fillId="0" borderId="4" xfId="0" applyNumberFormat="1" applyFont="1" applyFill="1" applyBorder="1" applyAlignment="1" applyProtection="1">
      <alignment horizontal="center" vertical="center" wrapText="1"/>
      <protection locked="0"/>
    </xf>
    <xf numFmtId="9" fontId="35" fillId="0" borderId="4" xfId="0" applyNumberFormat="1" applyFont="1" applyFill="1" applyBorder="1" applyAlignment="1" applyProtection="1">
      <alignment horizontal="center" vertical="center" wrapText="1"/>
      <protection locked="0"/>
    </xf>
    <xf numFmtId="169" fontId="35" fillId="0" borderId="4" xfId="0" applyNumberFormat="1" applyFont="1" applyFill="1" applyBorder="1" applyAlignment="1" applyProtection="1">
      <alignment horizontal="center" vertical="center" wrapText="1"/>
      <protection locked="0"/>
    </xf>
    <xf numFmtId="0" fontId="26" fillId="0" borderId="4"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justify" vertical="center" wrapText="1"/>
      <protection locked="0"/>
    </xf>
    <xf numFmtId="0" fontId="22" fillId="0" borderId="0" xfId="0" applyFont="1" applyFill="1" applyBorder="1" applyAlignment="1">
      <alignment horizontal="justify" wrapText="1"/>
    </xf>
    <xf numFmtId="4" fontId="22" fillId="0" borderId="0" xfId="0" applyNumberFormat="1" applyFont="1" applyFill="1" applyBorder="1" applyAlignment="1" applyProtection="1">
      <alignment horizontal="justify" vertical="center" wrapText="1"/>
      <protection locked="0"/>
    </xf>
    <xf numFmtId="0" fontId="26" fillId="0" borderId="1" xfId="0" applyFont="1" applyFill="1" applyBorder="1" applyAlignment="1" applyProtection="1">
      <alignment horizontal="justify" vertical="center" wrapText="1"/>
      <protection locked="0"/>
    </xf>
    <xf numFmtId="0" fontId="26" fillId="0" borderId="4" xfId="0" applyFont="1" applyFill="1" applyBorder="1" applyAlignment="1" applyProtection="1">
      <alignment horizontal="justify" vertical="top" wrapText="1"/>
      <protection locked="0"/>
    </xf>
    <xf numFmtId="0" fontId="18" fillId="0" borderId="1" xfId="0" applyFont="1" applyFill="1" applyBorder="1" applyAlignment="1" applyProtection="1">
      <alignment horizontal="justify" vertical="center" wrapText="1"/>
      <protection locked="0"/>
    </xf>
    <xf numFmtId="0" fontId="48" fillId="0" borderId="1" xfId="0" applyFont="1" applyFill="1" applyBorder="1" applyAlignment="1" applyProtection="1">
      <alignment horizontal="justify" vertical="center" wrapText="1"/>
      <protection locked="0"/>
    </xf>
    <xf numFmtId="0" fontId="49" fillId="0" borderId="1" xfId="0" applyFont="1" applyFill="1" applyBorder="1" applyAlignment="1" applyProtection="1">
      <alignment horizontal="justify" vertical="center" wrapText="1"/>
      <protection locked="0"/>
    </xf>
    <xf numFmtId="0" fontId="50" fillId="0" borderId="1" xfId="0" applyFont="1" applyFill="1" applyBorder="1" applyAlignment="1" applyProtection="1">
      <alignment horizontal="justify" vertical="center" wrapText="1"/>
      <protection locked="0"/>
    </xf>
    <xf numFmtId="0" fontId="51" fillId="0" borderId="1" xfId="0" applyFont="1" applyFill="1" applyBorder="1" applyAlignment="1" applyProtection="1">
      <alignment horizontal="justify" vertical="center" wrapText="1"/>
      <protection locked="0"/>
    </xf>
    <xf numFmtId="0" fontId="52" fillId="0" borderId="1" xfId="0" applyFont="1" applyFill="1" applyBorder="1" applyAlignment="1" applyProtection="1">
      <alignment horizontal="justify" vertical="center" wrapText="1"/>
      <protection locked="0"/>
    </xf>
    <xf numFmtId="49" fontId="50" fillId="3" borderId="1" xfId="0" applyNumberFormat="1" applyFont="1" applyFill="1" applyBorder="1" applyAlignment="1" applyProtection="1">
      <alignment horizontal="center" vertical="center" wrapText="1"/>
      <protection locked="0"/>
    </xf>
    <xf numFmtId="0" fontId="50" fillId="3" borderId="1" xfId="0" applyFont="1" applyFill="1" applyBorder="1" applyAlignment="1" applyProtection="1">
      <alignment horizontal="justify" vertical="center" wrapText="1"/>
      <protection locked="0"/>
    </xf>
    <xf numFmtId="9" fontId="50" fillId="3" borderId="1" xfId="0" applyNumberFormat="1" applyFont="1" applyFill="1" applyBorder="1" applyAlignment="1" applyProtection="1">
      <alignment horizontal="center" vertical="center" wrapText="1"/>
      <protection locked="0"/>
    </xf>
    <xf numFmtId="0" fontId="48" fillId="3" borderId="1" xfId="0" applyFont="1" applyFill="1" applyBorder="1" applyAlignment="1" applyProtection="1">
      <alignment horizontal="justify" vertical="center" wrapText="1"/>
      <protection locked="0"/>
    </xf>
    <xf numFmtId="0" fontId="15" fillId="0" borderId="0" xfId="0" applyFont="1"/>
    <xf numFmtId="4" fontId="17" fillId="0" borderId="0" xfId="0" applyNumberFormat="1" applyFont="1"/>
    <xf numFmtId="0" fontId="17" fillId="0" borderId="0" xfId="0" applyFont="1"/>
    <xf numFmtId="4" fontId="17" fillId="7" borderId="0" xfId="0" applyNumberFormat="1" applyFont="1" applyFill="1"/>
    <xf numFmtId="4" fontId="17" fillId="5" borderId="0" xfId="0" applyNumberFormat="1" applyFont="1" applyFill="1" applyAlignment="1">
      <alignment wrapText="1"/>
    </xf>
    <xf numFmtId="164" fontId="52" fillId="0" borderId="1" xfId="0" applyNumberFormat="1" applyFont="1" applyFill="1" applyBorder="1" applyAlignment="1" applyProtection="1">
      <alignment horizontal="center" vertical="center" wrapText="1"/>
      <protection locked="0"/>
    </xf>
    <xf numFmtId="0" fontId="26" fillId="0" borderId="1" xfId="0" applyNumberFormat="1" applyFont="1" applyFill="1" applyBorder="1" applyAlignment="1" applyProtection="1">
      <alignment horizontal="center" vertical="center" wrapText="1"/>
      <protection locked="0"/>
    </xf>
    <xf numFmtId="4" fontId="34" fillId="3" borderId="1" xfId="0" applyNumberFormat="1" applyFont="1" applyFill="1" applyBorder="1" applyAlignment="1" applyProtection="1">
      <alignment horizontal="center" vertical="center" wrapText="1"/>
      <protection locked="0"/>
    </xf>
    <xf numFmtId="4" fontId="44" fillId="3" borderId="1" xfId="0" applyNumberFormat="1" applyFont="1" applyFill="1" applyBorder="1" applyAlignment="1" applyProtection="1">
      <alignment horizontal="center" vertical="center" wrapText="1"/>
      <protection locked="0"/>
    </xf>
    <xf numFmtId="4" fontId="31" fillId="0" borderId="4"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justify" vertical="center" wrapText="1"/>
      <protection locked="0"/>
    </xf>
    <xf numFmtId="0" fontId="22" fillId="0" borderId="1" xfId="0" applyFont="1" applyFill="1" applyBorder="1" applyAlignment="1" applyProtection="1">
      <alignment horizontal="justify" vertical="center" wrapText="1"/>
      <protection locked="0"/>
    </xf>
    <xf numFmtId="0" fontId="32" fillId="0" borderId="1" xfId="0" applyFont="1" applyFill="1" applyBorder="1" applyAlignment="1" applyProtection="1">
      <alignment horizontal="justify" vertical="top" wrapText="1"/>
      <protection locked="0"/>
    </xf>
    <xf numFmtId="0" fontId="26" fillId="0" borderId="1" xfId="0" applyFont="1" applyFill="1" applyBorder="1" applyAlignment="1" applyProtection="1">
      <alignment horizontal="center" vertical="center" wrapText="1"/>
      <protection locked="0"/>
    </xf>
    <xf numFmtId="0" fontId="33" fillId="3" borderId="1" xfId="0" applyFont="1" applyFill="1" applyBorder="1" applyAlignment="1" applyProtection="1">
      <alignment horizontal="justify" vertical="center" wrapText="1"/>
      <protection locked="0"/>
    </xf>
    <xf numFmtId="0" fontId="22" fillId="3" borderId="1" xfId="0" applyFont="1" applyFill="1" applyBorder="1" applyAlignment="1" applyProtection="1">
      <alignment horizontal="justify" vertical="center" wrapText="1"/>
      <protection locked="0"/>
    </xf>
    <xf numFmtId="0" fontId="33" fillId="0" borderId="1" xfId="0" applyFont="1" applyFill="1" applyBorder="1" applyAlignment="1" applyProtection="1">
      <alignment horizontal="justify" vertical="top" wrapText="1"/>
      <protection locked="0"/>
    </xf>
    <xf numFmtId="0" fontId="22" fillId="0" borderId="1" xfId="0" applyFont="1" applyFill="1" applyBorder="1" applyAlignment="1" applyProtection="1">
      <alignment horizontal="justify" vertical="top" wrapText="1"/>
      <protection locked="0"/>
    </xf>
    <xf numFmtId="0" fontId="26" fillId="0" borderId="4" xfId="0" applyFont="1" applyFill="1" applyBorder="1" applyAlignment="1" applyProtection="1">
      <alignment horizontal="justify" vertical="center" wrapText="1"/>
      <protection locked="0"/>
    </xf>
    <xf numFmtId="0" fontId="26" fillId="0" borderId="3" xfId="0" applyFont="1" applyFill="1" applyBorder="1" applyAlignment="1" applyProtection="1">
      <alignment horizontal="justify" vertical="center" wrapText="1"/>
      <protection locked="0"/>
    </xf>
    <xf numFmtId="4" fontId="26" fillId="0" borderId="4" xfId="0" applyNumberFormat="1" applyFont="1" applyFill="1" applyBorder="1" applyAlignment="1" applyProtection="1">
      <alignment horizontal="center" vertical="center" wrapText="1"/>
      <protection locked="0"/>
    </xf>
    <xf numFmtId="4" fontId="26" fillId="0" borderId="3" xfId="0" applyNumberFormat="1" applyFont="1" applyFill="1" applyBorder="1" applyAlignment="1" applyProtection="1">
      <alignment horizontal="center" vertical="center" wrapText="1"/>
      <protection locked="0"/>
    </xf>
    <xf numFmtId="9" fontId="34" fillId="0" borderId="4" xfId="0" applyNumberFormat="1" applyFont="1" applyFill="1" applyBorder="1" applyAlignment="1" applyProtection="1">
      <alignment horizontal="center" vertical="center" wrapText="1"/>
      <protection locked="0"/>
    </xf>
    <xf numFmtId="9" fontId="34" fillId="0" borderId="3" xfId="0" applyNumberFormat="1" applyFont="1" applyFill="1" applyBorder="1" applyAlignment="1" applyProtection="1">
      <alignment horizontal="center" vertical="center" wrapText="1"/>
      <protection locked="0"/>
    </xf>
    <xf numFmtId="4" fontId="34" fillId="3" borderId="4" xfId="0" applyNumberFormat="1" applyFont="1" applyFill="1" applyBorder="1" applyAlignment="1" applyProtection="1">
      <alignment horizontal="center" vertical="center" wrapText="1"/>
      <protection locked="0"/>
    </xf>
    <xf numFmtId="4" fontId="34" fillId="3" borderId="3" xfId="0" applyNumberFormat="1" applyFont="1" applyFill="1" applyBorder="1" applyAlignment="1" applyProtection="1">
      <alignment horizontal="center" vertical="center" wrapText="1"/>
      <protection locked="0"/>
    </xf>
    <xf numFmtId="0" fontId="18" fillId="0" borderId="4"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165" fontId="18" fillId="0" borderId="1" xfId="0" quotePrefix="1" applyNumberFormat="1" applyFont="1" applyFill="1" applyBorder="1" applyAlignment="1" applyProtection="1">
      <alignment horizontal="center" vertical="center" wrapText="1"/>
      <protection locked="0"/>
    </xf>
    <xf numFmtId="0" fontId="54" fillId="3" borderId="1" xfId="0" applyFont="1" applyFill="1" applyBorder="1" applyAlignment="1" applyProtection="1">
      <alignment horizontal="justify" vertical="top" wrapText="1"/>
      <protection locked="0"/>
    </xf>
    <xf numFmtId="0" fontId="22" fillId="3" borderId="1" xfId="0" applyFont="1" applyFill="1" applyBorder="1" applyAlignment="1" applyProtection="1">
      <alignment horizontal="justify" vertical="top" wrapText="1"/>
      <protection locked="0"/>
    </xf>
    <xf numFmtId="9" fontId="18" fillId="0" borderId="1" xfId="0" applyNumberFormat="1" applyFont="1" applyFill="1" applyBorder="1" applyAlignment="1" applyProtection="1">
      <alignment horizontal="justify" vertical="center" wrapText="1"/>
      <protection locked="0"/>
    </xf>
    <xf numFmtId="0" fontId="32" fillId="0" borderId="1" xfId="0" applyFont="1" applyFill="1" applyBorder="1" applyAlignment="1" applyProtection="1">
      <alignment horizontal="justify" vertical="center" wrapText="1"/>
      <protection locked="0"/>
    </xf>
    <xf numFmtId="9" fontId="39" fillId="0" borderId="1" xfId="0" applyNumberFormat="1" applyFont="1" applyFill="1" applyBorder="1" applyAlignment="1" applyProtection="1">
      <alignment horizontal="center" vertical="center" wrapText="1"/>
      <protection locked="0"/>
    </xf>
    <xf numFmtId="9" fontId="18" fillId="3" borderId="1" xfId="0" applyNumberFormat="1" applyFont="1" applyFill="1" applyBorder="1" applyAlignment="1" applyProtection="1">
      <alignment horizontal="justify" vertical="center" wrapText="1"/>
      <protection locked="0"/>
    </xf>
    <xf numFmtId="0" fontId="21" fillId="0" borderId="0" xfId="0" quotePrefix="1" applyFont="1" applyFill="1" applyBorder="1" applyAlignment="1" applyProtection="1">
      <alignment horizontal="center" vertical="center" wrapText="1"/>
      <protection locked="0"/>
    </xf>
    <xf numFmtId="165" fontId="18"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4" fontId="18" fillId="0" borderId="1" xfId="0" applyNumberFormat="1" applyFont="1" applyFill="1" applyBorder="1" applyAlignment="1" applyProtection="1">
      <alignment horizontal="center" vertical="center" wrapText="1"/>
      <protection locked="0"/>
    </xf>
    <xf numFmtId="4" fontId="18" fillId="0" borderId="1" xfId="0" quotePrefix="1" applyNumberFormat="1" applyFont="1" applyFill="1" applyBorder="1" applyAlignment="1" applyProtection="1">
      <alignment horizontal="center" vertical="center" wrapText="1"/>
      <protection locked="0"/>
    </xf>
    <xf numFmtId="2" fontId="18" fillId="0" borderId="1" xfId="0" applyNumberFormat="1" applyFont="1" applyFill="1" applyBorder="1" applyAlignment="1" applyProtection="1">
      <alignment horizontal="center" vertical="center" wrapText="1"/>
      <protection locked="0"/>
    </xf>
    <xf numFmtId="0" fontId="34" fillId="0" borderId="4" xfId="0" applyFont="1" applyFill="1" applyBorder="1" applyAlignment="1" applyProtection="1">
      <alignment horizontal="center" vertical="center" wrapText="1"/>
      <protection locked="0"/>
    </xf>
    <xf numFmtId="0" fontId="34" fillId="0" borderId="3" xfId="0" applyFont="1" applyFill="1" applyBorder="1" applyAlignment="1" applyProtection="1">
      <alignment horizontal="center" vertical="center" wrapText="1"/>
      <protection locked="0"/>
    </xf>
    <xf numFmtId="9" fontId="26" fillId="0" borderId="4" xfId="0" applyNumberFormat="1" applyFont="1" applyFill="1" applyBorder="1" applyAlignment="1" applyProtection="1">
      <alignment horizontal="center" vertical="center" wrapText="1"/>
      <protection locked="0"/>
    </xf>
    <xf numFmtId="9" fontId="26" fillId="0" borderId="3" xfId="0" applyNumberFormat="1" applyFont="1" applyFill="1" applyBorder="1" applyAlignment="1" applyProtection="1">
      <alignment horizontal="center" vertical="center" wrapText="1"/>
      <protection locked="0"/>
    </xf>
    <xf numFmtId="9" fontId="32" fillId="0" borderId="4" xfId="0" applyNumberFormat="1" applyFont="1" applyFill="1" applyBorder="1" applyAlignment="1" applyProtection="1">
      <alignment horizontal="center" vertical="center" wrapText="1"/>
      <protection locked="0"/>
    </xf>
    <xf numFmtId="9" fontId="32" fillId="0" borderId="3" xfId="0" applyNumberFormat="1" applyFont="1" applyFill="1" applyBorder="1" applyAlignment="1" applyProtection="1">
      <alignment horizontal="center" vertical="center" wrapText="1"/>
      <protection locked="0"/>
    </xf>
    <xf numFmtId="4" fontId="31" fillId="0" borderId="4" xfId="0" applyNumberFormat="1" applyFont="1" applyFill="1" applyBorder="1" applyAlignment="1" applyProtection="1">
      <alignment horizontal="center" vertical="center" wrapText="1"/>
      <protection locked="0"/>
    </xf>
    <xf numFmtId="4" fontId="31" fillId="0" borderId="3" xfId="0" applyNumberFormat="1"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justify" vertical="center" wrapText="1"/>
      <protection locked="0"/>
    </xf>
    <xf numFmtId="0" fontId="31" fillId="0" borderId="3" xfId="0" applyFont="1" applyFill="1" applyBorder="1" applyAlignment="1" applyProtection="1">
      <alignment horizontal="justify" vertical="center" wrapText="1"/>
      <protection locked="0"/>
    </xf>
    <xf numFmtId="0" fontId="13" fillId="0" borderId="0" xfId="0" applyFont="1" applyAlignment="1">
      <alignment horizontal="center" vertical="center" wrapText="1"/>
    </xf>
    <xf numFmtId="166" fontId="16"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0" fontId="18" fillId="0" borderId="1" xfId="0" applyFont="1" applyBorder="1" applyAlignment="1">
      <alignment horizontal="left" vertical="center" wrapText="1"/>
    </xf>
    <xf numFmtId="4" fontId="16" fillId="0" borderId="5" xfId="0" applyNumberFormat="1" applyFont="1" applyBorder="1" applyAlignment="1">
      <alignment horizontal="center" vertical="center" wrapText="1"/>
    </xf>
    <xf numFmtId="4" fontId="16" fillId="0" borderId="8" xfId="0" applyNumberFormat="1" applyFont="1" applyBorder="1" applyAlignment="1">
      <alignment horizontal="center" vertical="center" wrapText="1"/>
    </xf>
    <xf numFmtId="4" fontId="16" fillId="0" borderId="6" xfId="0" applyNumberFormat="1" applyFont="1" applyBorder="1" applyAlignment="1">
      <alignment horizontal="center" vertical="center" wrapText="1"/>
    </xf>
    <xf numFmtId="4" fontId="26" fillId="0" borderId="0" xfId="0" applyNumberFormat="1" applyFont="1" applyFill="1" applyAlignment="1">
      <alignment horizontal="left" vertical="top" wrapText="1"/>
    </xf>
    <xf numFmtId="4" fontId="31" fillId="3" borderId="4" xfId="0" applyNumberFormat="1" applyFont="1" applyFill="1" applyBorder="1" applyAlignment="1" applyProtection="1">
      <alignment horizontal="center" vertical="center" wrapText="1"/>
      <protection locked="0"/>
    </xf>
    <xf numFmtId="4" fontId="31" fillId="3" borderId="3" xfId="0" applyNumberFormat="1" applyFont="1" applyFill="1" applyBorder="1" applyAlignment="1" applyProtection="1">
      <alignment horizontal="center" vertical="center" wrapText="1"/>
      <protection locked="0"/>
    </xf>
    <xf numFmtId="4" fontId="31" fillId="0" borderId="2" xfId="0" applyNumberFormat="1" applyFont="1" applyFill="1" applyBorder="1" applyAlignment="1" applyProtection="1">
      <alignment horizontal="center" vertical="center" wrapText="1"/>
      <protection locked="0"/>
    </xf>
    <xf numFmtId="4" fontId="31" fillId="3" borderId="1" xfId="0" applyNumberFormat="1" applyFont="1" applyFill="1" applyBorder="1" applyAlignment="1" applyProtection="1">
      <alignment vertical="center" wrapText="1"/>
      <protection locked="0"/>
    </xf>
    <xf numFmtId="4" fontId="54" fillId="3" borderId="1" xfId="0" applyNumberFormat="1" applyFont="1" applyFill="1" applyBorder="1" applyAlignment="1" applyProtection="1">
      <alignment horizontal="center" vertical="center"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comments" Target="../comments1.x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vmlDrawing" Target="../drawings/vmlDrawing1.v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0.bin"/><Relationship Id="rId13" Type="http://schemas.openxmlformats.org/officeDocument/2006/relationships/printerSettings" Target="../printerSettings/printerSettings35.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printerSettings" Target="../printerSettings/printerSettings34.bin"/><Relationship Id="rId2" Type="http://schemas.openxmlformats.org/officeDocument/2006/relationships/printerSettings" Target="../printerSettings/printerSettings24.bin"/><Relationship Id="rId16" Type="http://schemas.openxmlformats.org/officeDocument/2006/relationships/printerSettings" Target="../printerSettings/printerSettings38.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5" Type="http://schemas.openxmlformats.org/officeDocument/2006/relationships/printerSettings" Target="../printerSettings/printerSettings3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 Id="rId14"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outlinePr showOutlineSymbols="0"/>
    <pageSetUpPr fitToPage="1"/>
  </sheetPr>
  <dimension ref="A1:Q412"/>
  <sheetViews>
    <sheetView showZeros="0" tabSelected="1" showOutlineSymbols="0" view="pageBreakPreview" zoomScale="40" zoomScaleNormal="50" zoomScaleSheetLayoutView="40" workbookViewId="0">
      <selection activeCell="A3" sqref="A3:P3"/>
    </sheetView>
  </sheetViews>
  <sheetFormatPr defaultRowHeight="26.25" outlineLevelRow="1" outlineLevelCol="2" x14ac:dyDescent="0.4"/>
  <cols>
    <col min="1" max="1" width="16" style="139" customWidth="1"/>
    <col min="2" max="2" width="116.625" style="333" customWidth="1"/>
    <col min="3" max="3" width="25.25" style="40" hidden="1" customWidth="1"/>
    <col min="4" max="4" width="22.5" style="40" hidden="1" customWidth="1"/>
    <col min="5" max="5" width="24.125" style="40" hidden="1" customWidth="1"/>
    <col min="6" max="6" width="26.375" style="140" customWidth="1"/>
    <col min="7" max="7" width="25.125" style="140" customWidth="1"/>
    <col min="8" max="8" width="22.625" style="141" customWidth="1" outlineLevel="2"/>
    <col min="9" max="9" width="19.75" style="142" customWidth="1" outlineLevel="2"/>
    <col min="10" max="10" width="24.25" style="140" customWidth="1" outlineLevel="2"/>
    <col min="11" max="11" width="22.625" style="142" customWidth="1" outlineLevel="2"/>
    <col min="12" max="12" width="26.625" style="142" customWidth="1" outlineLevel="2"/>
    <col min="13" max="14" width="23.75" style="142" hidden="1" customWidth="1" outlineLevel="2"/>
    <col min="15" max="15" width="23.75" style="142" customWidth="1" outlineLevel="2"/>
    <col min="16" max="16" width="163.25" style="333" customWidth="1"/>
    <col min="17" max="17" width="24.375" style="40" customWidth="1"/>
    <col min="18" max="72" width="9" style="40" customWidth="1"/>
    <col min="73" max="16384" width="9" style="40"/>
  </cols>
  <sheetData>
    <row r="1" spans="1:17" ht="30.75" x14ac:dyDescent="0.45">
      <c r="A1" s="34"/>
      <c r="B1" s="386"/>
      <c r="C1" s="35"/>
      <c r="D1" s="35"/>
      <c r="E1" s="35"/>
      <c r="F1" s="36"/>
      <c r="G1" s="36"/>
      <c r="H1" s="37"/>
      <c r="I1" s="38"/>
      <c r="J1" s="36"/>
      <c r="K1" s="38"/>
      <c r="L1" s="38"/>
      <c r="M1" s="38"/>
      <c r="N1" s="38"/>
      <c r="O1" s="38"/>
      <c r="P1" s="332"/>
    </row>
    <row r="2" spans="1:17" ht="30.75" x14ac:dyDescent="0.45">
      <c r="A2" s="34"/>
      <c r="B2" s="386"/>
      <c r="C2" s="35"/>
      <c r="D2" s="35"/>
      <c r="E2" s="35"/>
      <c r="F2" s="36"/>
      <c r="G2" s="36"/>
      <c r="H2" s="37"/>
      <c r="I2" s="38"/>
      <c r="J2" s="36"/>
      <c r="K2" s="38"/>
      <c r="L2" s="38"/>
      <c r="M2" s="38"/>
      <c r="N2" s="38"/>
      <c r="O2" s="38"/>
      <c r="P2" s="332"/>
    </row>
    <row r="3" spans="1:17" ht="73.5" customHeight="1" x14ac:dyDescent="0.4">
      <c r="A3" s="436" t="s">
        <v>215</v>
      </c>
      <c r="B3" s="436"/>
      <c r="C3" s="436"/>
      <c r="D3" s="436"/>
      <c r="E3" s="436"/>
      <c r="F3" s="436"/>
      <c r="G3" s="436"/>
      <c r="H3" s="436"/>
      <c r="I3" s="436"/>
      <c r="J3" s="436"/>
      <c r="K3" s="436"/>
      <c r="L3" s="436"/>
      <c r="M3" s="436"/>
      <c r="N3" s="436"/>
      <c r="O3" s="436"/>
      <c r="P3" s="436"/>
    </row>
    <row r="4" spans="1:17" s="35" customFormat="1" ht="41.25" customHeight="1" x14ac:dyDescent="0.4">
      <c r="A4" s="41"/>
      <c r="B4" s="387"/>
      <c r="C4" s="41"/>
      <c r="D4" s="41"/>
      <c r="E4" s="41"/>
      <c r="F4" s="42"/>
      <c r="G4" s="42"/>
      <c r="H4" s="42"/>
      <c r="I4" s="42"/>
      <c r="J4" s="42"/>
      <c r="K4" s="43"/>
      <c r="L4" s="298"/>
      <c r="M4" s="43"/>
      <c r="N4" s="43"/>
      <c r="O4" s="43"/>
      <c r="P4" s="371" t="s">
        <v>54</v>
      </c>
    </row>
    <row r="5" spans="1:17" s="299" customFormat="1" ht="72.75" customHeight="1" x14ac:dyDescent="0.25">
      <c r="A5" s="439" t="s">
        <v>3</v>
      </c>
      <c r="B5" s="439" t="s">
        <v>8</v>
      </c>
      <c r="C5" s="440" t="s">
        <v>17</v>
      </c>
      <c r="D5" s="440" t="s">
        <v>18</v>
      </c>
      <c r="E5" s="440" t="s">
        <v>19</v>
      </c>
      <c r="F5" s="440" t="s">
        <v>181</v>
      </c>
      <c r="G5" s="440"/>
      <c r="H5" s="429" t="s">
        <v>204</v>
      </c>
      <c r="I5" s="429"/>
      <c r="J5" s="429"/>
      <c r="K5" s="429"/>
      <c r="L5" s="442" t="s">
        <v>66</v>
      </c>
      <c r="M5" s="372"/>
      <c r="N5" s="372"/>
      <c r="O5" s="442" t="s">
        <v>123</v>
      </c>
      <c r="P5" s="426" t="s">
        <v>182</v>
      </c>
    </row>
    <row r="6" spans="1:17" s="299" customFormat="1" ht="69.75" customHeight="1" x14ac:dyDescent="0.25">
      <c r="A6" s="439"/>
      <c r="B6" s="439"/>
      <c r="C6" s="440"/>
      <c r="D6" s="440"/>
      <c r="E6" s="440"/>
      <c r="F6" s="441" t="s">
        <v>64</v>
      </c>
      <c r="G6" s="440" t="s">
        <v>65</v>
      </c>
      <c r="H6" s="437" t="s">
        <v>7</v>
      </c>
      <c r="I6" s="437"/>
      <c r="J6" s="437" t="s">
        <v>6</v>
      </c>
      <c r="K6" s="437"/>
      <c r="L6" s="442"/>
      <c r="M6" s="372"/>
      <c r="N6" s="372"/>
      <c r="O6" s="442"/>
      <c r="P6" s="427"/>
    </row>
    <row r="7" spans="1:17" s="299" customFormat="1" ht="69.75" x14ac:dyDescent="0.25">
      <c r="A7" s="439"/>
      <c r="B7" s="439"/>
      <c r="C7" s="440"/>
      <c r="D7" s="440"/>
      <c r="E7" s="440"/>
      <c r="F7" s="441"/>
      <c r="G7" s="440"/>
      <c r="H7" s="373" t="s">
        <v>0</v>
      </c>
      <c r="I7" s="374" t="s">
        <v>12</v>
      </c>
      <c r="J7" s="375" t="s">
        <v>9</v>
      </c>
      <c r="K7" s="374" t="s">
        <v>2</v>
      </c>
      <c r="L7" s="442"/>
      <c r="M7" s="372"/>
      <c r="N7" s="372"/>
      <c r="O7" s="442"/>
      <c r="P7" s="428"/>
    </row>
    <row r="8" spans="1:17" s="58" customFormat="1" x14ac:dyDescent="0.25">
      <c r="A8" s="51">
        <v>1</v>
      </c>
      <c r="B8" s="51">
        <v>2</v>
      </c>
      <c r="C8" s="52">
        <v>4</v>
      </c>
      <c r="D8" s="52">
        <v>5</v>
      </c>
      <c r="E8" s="52">
        <v>6</v>
      </c>
      <c r="F8" s="52">
        <v>3</v>
      </c>
      <c r="G8" s="52">
        <v>4</v>
      </c>
      <c r="H8" s="54">
        <v>5</v>
      </c>
      <c r="I8" s="52">
        <v>6</v>
      </c>
      <c r="J8" s="52">
        <v>7</v>
      </c>
      <c r="K8" s="55">
        <v>8</v>
      </c>
      <c r="L8" s="55">
        <v>9</v>
      </c>
      <c r="M8" s="52"/>
      <c r="N8" s="52"/>
      <c r="O8" s="52">
        <v>10</v>
      </c>
      <c r="P8" s="55">
        <v>11</v>
      </c>
    </row>
    <row r="9" spans="1:17" s="300" customFormat="1" ht="51" x14ac:dyDescent="0.25">
      <c r="A9" s="438"/>
      <c r="B9" s="388" t="s">
        <v>48</v>
      </c>
      <c r="C9" s="61" t="e">
        <f>C10+C11+#REF!+C14</f>
        <v>#REF!</v>
      </c>
      <c r="D9" s="61" t="e">
        <f>D10+D11+#REF!+D14</f>
        <v>#REF!</v>
      </c>
      <c r="E9" s="61" t="e">
        <f>E10+E11+#REF!+#REF!+E14</f>
        <v>#REF!</v>
      </c>
      <c r="F9" s="61">
        <f>SUM(F10:F14)</f>
        <v>12192168.67</v>
      </c>
      <c r="G9" s="61">
        <f t="shared" ref="G9:O9" si="0">SUM(G10:G14)</f>
        <v>12390313.42</v>
      </c>
      <c r="H9" s="61">
        <f>SUM(H10:H14)</f>
        <v>6875069.1500000004</v>
      </c>
      <c r="I9" s="61">
        <f>H9/G9*100</f>
        <v>55.49</v>
      </c>
      <c r="J9" s="61">
        <f t="shared" si="0"/>
        <v>6704312.5700000003</v>
      </c>
      <c r="K9" s="61">
        <f>J9/G9*100</f>
        <v>54.11</v>
      </c>
      <c r="L9" s="61">
        <f t="shared" si="0"/>
        <v>12300010.789999999</v>
      </c>
      <c r="M9" s="61">
        <f t="shared" si="0"/>
        <v>1659056.36</v>
      </c>
      <c r="N9" s="61">
        <f t="shared" si="0"/>
        <v>0</v>
      </c>
      <c r="O9" s="61">
        <f t="shared" si="0"/>
        <v>90302.63</v>
      </c>
      <c r="P9" s="337"/>
      <c r="Q9" s="462"/>
    </row>
    <row r="10" spans="1:17" s="299" customFormat="1" x14ac:dyDescent="0.25">
      <c r="A10" s="438"/>
      <c r="B10" s="385" t="s">
        <v>4</v>
      </c>
      <c r="C10" s="61" t="e">
        <f>#REF!+#REF!+#REF!+#REF!+#REF!+#REF!+#REF!+#REF!+#REF!+#REF!+#REF!+#REF!+#REF!+#REF!+#REF!+#REF!+#REF!+#REF!+#REF!+#REF!+#REF!+#REF!</f>
        <v>#REF!</v>
      </c>
      <c r="D10" s="61" t="e">
        <f>#REF!+#REF!+#REF!+#REF!+#REF!+#REF!+#REF!+#REF!+#REF!+#REF!+#REF!+#REF!+#REF!+#REF!+#REF!+#REF!+#REF!+#REF!+#REF!+#REF!+#REF!+#REF!</f>
        <v>#REF!</v>
      </c>
      <c r="E10" s="61" t="e">
        <f>#REF!+#REF!+#REF!+#REF!+#REF!+#REF!+#REF!+#REF!+#REF!+#REF!+#REF!+#REF!+#REF!+#REF!+#REF!+#REF!+#REF!+#REF!+#REF!+#REF!+#REF!+#REF!</f>
        <v>#REF!</v>
      </c>
      <c r="F10" s="61">
        <f t="shared" ref="F10:H14" si="1">F16+F23+F30+F37+F43+F49+F55+F63+F142+F149+F167+F174+F181</f>
        <v>37443.129999999997</v>
      </c>
      <c r="G10" s="61">
        <f t="shared" si="1"/>
        <v>38948.18</v>
      </c>
      <c r="H10" s="61">
        <f t="shared" si="1"/>
        <v>29886.18</v>
      </c>
      <c r="I10" s="61">
        <f t="shared" ref="I10:I14" si="2">H10/G10*100</f>
        <v>76.73</v>
      </c>
      <c r="J10" s="61">
        <f>J16+J23+J30+J37+J43+J49+J55+J63+J142+J149+J167+J174+J181</f>
        <v>18014.37</v>
      </c>
      <c r="K10" s="61">
        <f t="shared" ref="K10:K14" si="3">J10/G10*100</f>
        <v>46.25</v>
      </c>
      <c r="L10" s="61">
        <f t="shared" ref="L10:O14" si="4">L16+L23+L30+L37+L43+L49+L55+L63+L142+L149+L167+L174+L181</f>
        <v>36260.379999999997</v>
      </c>
      <c r="M10" s="61">
        <f t="shared" si="4"/>
        <v>18576.38</v>
      </c>
      <c r="N10" s="61">
        <f t="shared" si="4"/>
        <v>0</v>
      </c>
      <c r="O10" s="61">
        <f t="shared" si="4"/>
        <v>2687.8</v>
      </c>
      <c r="P10" s="337"/>
      <c r="Q10" s="462"/>
    </row>
    <row r="11" spans="1:17" s="299" customFormat="1" x14ac:dyDescent="0.25">
      <c r="A11" s="438"/>
      <c r="B11" s="385" t="s">
        <v>16</v>
      </c>
      <c r="C11" s="61" t="e">
        <f>C43++C20+#REF!+#REF!+#REF!+#REF!+#REF!+#REF!+#REF!+#REF!+#REF!+#REF!+#REF!+#REF!+#REF!+#REF!+#REF!+#REF!+#REF!+#REF!+#REF!+#REF!</f>
        <v>#REF!</v>
      </c>
      <c r="D11" s="61" t="e">
        <f>D43++D20+#REF!+#REF!+#REF!+#REF!+#REF!+#REF!+#REF!+#REF!+#REF!+#REF!+#REF!+#REF!+#REF!+#REF!+#REF!+#REF!+#REF!+#REF!+#REF!+#REF!</f>
        <v>#REF!</v>
      </c>
      <c r="E11" s="61" t="e">
        <f>E43++E20+#REF!+#REF!+#REF!+#REF!+#REF!+#REF!+#REF!+#REF!+#REF!+#REF!+#REF!+#REF!+#REF!+#REF!+#REF!+#REF!+#REF!+#REF!+#REF!+#REF!</f>
        <v>#REF!</v>
      </c>
      <c r="F11" s="61">
        <f t="shared" si="1"/>
        <v>11628133.66</v>
      </c>
      <c r="G11" s="61">
        <f t="shared" si="1"/>
        <v>11791539.060000001</v>
      </c>
      <c r="H11" s="61">
        <f t="shared" si="1"/>
        <v>6580561</v>
      </c>
      <c r="I11" s="61">
        <f t="shared" si="2"/>
        <v>55.81</v>
      </c>
      <c r="J11" s="61">
        <f>J17+J24+J31+J38+J44+J50+J56+J64+J143+J150+J168+J175+J182</f>
        <v>6421676.2400000002</v>
      </c>
      <c r="K11" s="61">
        <f t="shared" si="3"/>
        <v>54.46</v>
      </c>
      <c r="L11" s="61">
        <f t="shared" si="4"/>
        <v>11726754.1</v>
      </c>
      <c r="M11" s="61">
        <f t="shared" si="4"/>
        <v>1437380.31</v>
      </c>
      <c r="N11" s="61">
        <f t="shared" si="4"/>
        <v>0</v>
      </c>
      <c r="O11" s="61">
        <f t="shared" si="4"/>
        <v>64784.959999999999</v>
      </c>
      <c r="P11" s="337"/>
      <c r="Q11" s="462"/>
    </row>
    <row r="12" spans="1:17" s="299" customFormat="1" x14ac:dyDescent="0.25">
      <c r="A12" s="438"/>
      <c r="B12" s="385" t="s">
        <v>11</v>
      </c>
      <c r="C12" s="61" t="e">
        <f>#REF!+#REF!+#REF!+#REF!+#REF!+#REF!+#REF!+#REF!+#REF!+#REF!+#REF!+#REF!+#REF!+#REF!+#REF!+#REF!+#REF!+#REF!+C46+#REF!+#REF!+#REF!+#REF!</f>
        <v>#REF!</v>
      </c>
      <c r="D12" s="61" t="e">
        <f>#REF!+#REF!+#REF!+#REF!+#REF!+#REF!+#REF!+#REF!+#REF!+#REF!+#REF!+#REF!+#REF!+#REF!+#REF!+#REF!+#REF!+#REF!+D46+#REF!+#REF!+#REF!+#REF!</f>
        <v>#REF!</v>
      </c>
      <c r="E12" s="61" t="e">
        <f>#REF!+#REF!+#REF!+#REF!+#REF!+#REF!+#REF!+#REF!+#REF!+#REF!+#REF!+#REF!+#REF!+#REF!+#REF!+#REF!+#REF!+#REF!+E46+#REF!+#REF!+#REF!+#REF!</f>
        <v>#REF!</v>
      </c>
      <c r="F12" s="61">
        <f t="shared" si="1"/>
        <v>317324.56</v>
      </c>
      <c r="G12" s="61">
        <f t="shared" si="1"/>
        <v>350558.85</v>
      </c>
      <c r="H12" s="61">
        <f t="shared" si="1"/>
        <v>180761.69</v>
      </c>
      <c r="I12" s="61">
        <f t="shared" si="2"/>
        <v>51.56</v>
      </c>
      <c r="J12" s="61">
        <f>J18+J25+J32+J39+K45+J51+J57+J65+J144+J151+J169+J176+J183</f>
        <v>180761.68</v>
      </c>
      <c r="K12" s="61">
        <f t="shared" si="3"/>
        <v>51.56</v>
      </c>
      <c r="L12" s="61">
        <f t="shared" si="4"/>
        <v>328905.75</v>
      </c>
      <c r="M12" s="61">
        <f t="shared" si="4"/>
        <v>201343.76</v>
      </c>
      <c r="N12" s="61">
        <f t="shared" si="4"/>
        <v>0</v>
      </c>
      <c r="O12" s="61">
        <f t="shared" si="4"/>
        <v>21653.1</v>
      </c>
      <c r="P12" s="337"/>
      <c r="Q12" s="462"/>
    </row>
    <row r="13" spans="1:17" s="299" customFormat="1" x14ac:dyDescent="0.25">
      <c r="A13" s="438"/>
      <c r="B13" s="385" t="s">
        <v>13</v>
      </c>
      <c r="C13" s="61" t="e">
        <f>#REF!+#REF!+#REF!+#REF!+#REF!+#REF!+#REF!+#REF!+#REF!+#REF!+#REF!+#REF!+#REF!+#REF!+#REF!+#REF!+#REF!+#REF!+C47+#REF!+#REF!+#REF!+#REF!</f>
        <v>#REF!</v>
      </c>
      <c r="D13" s="61" t="e">
        <f>#REF!+#REF!+#REF!+#REF!+#REF!+#REF!+#REF!+#REF!+#REF!+#REF!+#REF!+#REF!+#REF!+#REF!+#REF!+#REF!+#REF!+#REF!+D47+#REF!+#REF!+#REF!+#REF!</f>
        <v>#REF!</v>
      </c>
      <c r="E13" s="61" t="e">
        <f>#REF!+#REF!+#REF!+#REF!+#REF!+#REF!+#REF!+#REF!+#REF!+#REF!+#REF!+#REF!+#REF!+#REF!+#REF!+#REF!+#REF!+#REF!+E47+#REF!+#REF!+#REF!+#REF!</f>
        <v>#REF!</v>
      </c>
      <c r="F13" s="61">
        <f t="shared" si="1"/>
        <v>100051.39</v>
      </c>
      <c r="G13" s="61">
        <f t="shared" si="1"/>
        <v>100051.4</v>
      </c>
      <c r="H13" s="61">
        <f t="shared" si="1"/>
        <v>59547.89</v>
      </c>
      <c r="I13" s="61">
        <f t="shared" si="2"/>
        <v>59.52</v>
      </c>
      <c r="J13" s="61">
        <f>J19+J26+J33+J40+J46+J52+J58+J66+J145+J152+J170+J177+J184</f>
        <v>59547.89</v>
      </c>
      <c r="K13" s="61">
        <f t="shared" si="3"/>
        <v>59.52</v>
      </c>
      <c r="L13" s="61">
        <f t="shared" si="4"/>
        <v>99951.25</v>
      </c>
      <c r="M13" s="61">
        <f t="shared" si="4"/>
        <v>1755.91</v>
      </c>
      <c r="N13" s="61">
        <f t="shared" si="4"/>
        <v>0</v>
      </c>
      <c r="O13" s="61">
        <f t="shared" si="4"/>
        <v>100.15</v>
      </c>
      <c r="P13" s="337"/>
      <c r="Q13" s="462"/>
    </row>
    <row r="14" spans="1:17" s="299" customFormat="1" x14ac:dyDescent="0.25">
      <c r="A14" s="438"/>
      <c r="B14" s="385" t="s">
        <v>5</v>
      </c>
      <c r="C14" s="61" t="e">
        <f>#REF!+#REF!+#REF!+#REF!+#REF!+#REF!+#REF!+#REF!+#REF!+#REF!+#REF!+#REF!+#REF!+#REF!+#REF!+#REF!+#REF!+#REF!+#REF!+#REF!+#REF!</f>
        <v>#REF!</v>
      </c>
      <c r="D14" s="61" t="e">
        <f>#REF!+#REF!+#REF!+#REF!+#REF!+#REF!+#REF!+#REF!+#REF!+#REF!+#REF!+#REF!+#REF!+#REF!+#REF!+#REF!+#REF!+#REF!+#REF!+#REF!+#REF!</f>
        <v>#REF!</v>
      </c>
      <c r="E14" s="61" t="e">
        <f>#REF!+#REF!+#REF!+#REF!+#REF!+#REF!+#REF!+#REF!+#REF!+#REF!+#REF!+#REF!+#REF!+#REF!+#REF!+#REF!+#REF!+#REF!+#REF!+#REF!+#REF!</f>
        <v>#REF!</v>
      </c>
      <c r="F14" s="61">
        <f t="shared" si="1"/>
        <v>109215.93</v>
      </c>
      <c r="G14" s="61">
        <f t="shared" si="1"/>
        <v>109215.93</v>
      </c>
      <c r="H14" s="61">
        <f t="shared" si="1"/>
        <v>24312.39</v>
      </c>
      <c r="I14" s="61">
        <f t="shared" si="2"/>
        <v>22.26</v>
      </c>
      <c r="J14" s="61">
        <f>J20+J27+J34+J41+J47+J53+J59+J67+J146+J153+J171+J178+J185</f>
        <v>24312.39</v>
      </c>
      <c r="K14" s="61">
        <f t="shared" si="3"/>
        <v>22.26</v>
      </c>
      <c r="L14" s="61">
        <f t="shared" si="4"/>
        <v>108139.31</v>
      </c>
      <c r="M14" s="61">
        <f t="shared" si="4"/>
        <v>0</v>
      </c>
      <c r="N14" s="61">
        <f t="shared" si="4"/>
        <v>0</v>
      </c>
      <c r="O14" s="61">
        <f t="shared" si="4"/>
        <v>1076.6199999999999</v>
      </c>
      <c r="P14" s="337"/>
      <c r="Q14" s="462"/>
    </row>
    <row r="15" spans="1:17" s="300" customFormat="1" ht="146.25" customHeight="1" x14ac:dyDescent="0.25">
      <c r="A15" s="175" t="s">
        <v>56</v>
      </c>
      <c r="B15" s="388" t="s">
        <v>194</v>
      </c>
      <c r="C15" s="61" t="e">
        <f>SUM(C20:C20)</f>
        <v>#REF!</v>
      </c>
      <c r="D15" s="61" t="e">
        <f>SUM(D20:D20)</f>
        <v>#REF!</v>
      </c>
      <c r="E15" s="61" t="e">
        <f>SUM(E20:E20)</f>
        <v>#REF!</v>
      </c>
      <c r="F15" s="61">
        <f>F16+F17+F18+F19+F20</f>
        <v>206597.24</v>
      </c>
      <c r="G15" s="61">
        <f t="shared" ref="G15:J15" si="5">G16+G17+G18+G19+G20</f>
        <v>206597.24</v>
      </c>
      <c r="H15" s="61">
        <f t="shared" si="5"/>
        <v>132890.07999999999</v>
      </c>
      <c r="I15" s="70">
        <f>H15/G15</f>
        <v>0.64</v>
      </c>
      <c r="J15" s="61">
        <f t="shared" si="5"/>
        <v>132890.07999999999</v>
      </c>
      <c r="K15" s="174">
        <f>J15/G15</f>
        <v>0.64</v>
      </c>
      <c r="L15" s="61">
        <f t="shared" ref="L15" si="6">L16+L17+L18+L19+L20</f>
        <v>206597.24</v>
      </c>
      <c r="M15" s="61">
        <f t="shared" ref="M15" si="7">M16+M17+M18+M19+M20</f>
        <v>0</v>
      </c>
      <c r="N15" s="61">
        <f t="shared" ref="N15" si="8">N16+N17+N18+N19+N20</f>
        <v>0</v>
      </c>
      <c r="O15" s="61">
        <f t="shared" ref="O15" si="9">O16+O17+O18+O19+O20</f>
        <v>0</v>
      </c>
      <c r="P15" s="431" t="s">
        <v>216</v>
      </c>
      <c r="Q15" s="462"/>
    </row>
    <row r="16" spans="1:17" s="300" customFormat="1" ht="41.25" customHeight="1" x14ac:dyDescent="0.25">
      <c r="A16" s="175"/>
      <c r="B16" s="385" t="s">
        <v>4</v>
      </c>
      <c r="C16" s="61"/>
      <c r="D16" s="61"/>
      <c r="E16" s="61"/>
      <c r="F16" s="147"/>
      <c r="G16" s="147"/>
      <c r="H16" s="147"/>
      <c r="I16" s="148"/>
      <c r="J16" s="147"/>
      <c r="K16" s="148"/>
      <c r="L16" s="147"/>
      <c r="M16" s="148"/>
      <c r="N16" s="148"/>
      <c r="O16" s="147"/>
      <c r="P16" s="431"/>
      <c r="Q16" s="462"/>
    </row>
    <row r="17" spans="1:17" s="300" customFormat="1" ht="41.25" customHeight="1" x14ac:dyDescent="0.25">
      <c r="A17" s="175"/>
      <c r="B17" s="385" t="s">
        <v>16</v>
      </c>
      <c r="C17" s="61"/>
      <c r="D17" s="61"/>
      <c r="E17" s="61"/>
      <c r="F17" s="147">
        <v>162038.70000000001</v>
      </c>
      <c r="G17" s="147">
        <v>162038.70000000001</v>
      </c>
      <c r="H17" s="147">
        <v>88331.54</v>
      </c>
      <c r="I17" s="148">
        <f>H17/G17</f>
        <v>0.55000000000000004</v>
      </c>
      <c r="J17" s="147">
        <v>88331.54</v>
      </c>
      <c r="K17" s="148">
        <f>J17/G17</f>
        <v>0.55000000000000004</v>
      </c>
      <c r="L17" s="147">
        <v>162038.70000000001</v>
      </c>
      <c r="M17" s="148"/>
      <c r="N17" s="148"/>
      <c r="O17" s="147">
        <f>G17-L17</f>
        <v>0</v>
      </c>
      <c r="P17" s="431"/>
      <c r="Q17" s="462"/>
    </row>
    <row r="18" spans="1:17" s="300" customFormat="1" ht="41.25" customHeight="1" x14ac:dyDescent="0.25">
      <c r="A18" s="175"/>
      <c r="B18" s="385" t="s">
        <v>11</v>
      </c>
      <c r="C18" s="61"/>
      <c r="D18" s="61"/>
      <c r="E18" s="61"/>
      <c r="F18" s="147"/>
      <c r="G18" s="147"/>
      <c r="H18" s="147"/>
      <c r="I18" s="148"/>
      <c r="J18" s="147"/>
      <c r="K18" s="148"/>
      <c r="L18" s="147"/>
      <c r="M18" s="148"/>
      <c r="N18" s="148"/>
      <c r="O18" s="147"/>
      <c r="P18" s="431"/>
      <c r="Q18" s="462"/>
    </row>
    <row r="19" spans="1:17" s="300" customFormat="1" ht="41.25" customHeight="1" x14ac:dyDescent="0.25">
      <c r="A19" s="175"/>
      <c r="B19" s="385" t="s">
        <v>13</v>
      </c>
      <c r="C19" s="61"/>
      <c r="D19" s="61"/>
      <c r="E19" s="61"/>
      <c r="F19" s="147">
        <v>44558.54</v>
      </c>
      <c r="G19" s="147">
        <v>44558.54</v>
      </c>
      <c r="H19" s="147">
        <v>44558.54</v>
      </c>
      <c r="I19" s="148">
        <f>H19/G19</f>
        <v>1</v>
      </c>
      <c r="J19" s="147">
        <v>44558.54</v>
      </c>
      <c r="K19" s="148">
        <f>J19/G19</f>
        <v>1</v>
      </c>
      <c r="L19" s="147">
        <v>44558.54</v>
      </c>
      <c r="M19" s="148"/>
      <c r="N19" s="148"/>
      <c r="O19" s="147">
        <f>G19-L19</f>
        <v>0</v>
      </c>
      <c r="P19" s="431"/>
      <c r="Q19" s="462"/>
    </row>
    <row r="20" spans="1:17" s="299" customFormat="1" ht="41.25" customHeight="1" x14ac:dyDescent="0.25">
      <c r="A20" s="175"/>
      <c r="B20" s="385" t="s">
        <v>5</v>
      </c>
      <c r="C20" s="65" t="e">
        <f>#REF!+#REF!+#REF!+#REF!+#REF!+#REF!+#REF!+#REF!+#REF!</f>
        <v>#REF!</v>
      </c>
      <c r="D20" s="65" t="e">
        <f>#REF!+#REF!+#REF!+#REF!+#REF!+#REF!+#REF!+#REF!+#REF!</f>
        <v>#REF!</v>
      </c>
      <c r="E20" s="65" t="e">
        <f>#REF!+#REF!+#REF!+#REF!+#REF!+#REF!+#REF!+#REF!+#REF!</f>
        <v>#REF!</v>
      </c>
      <c r="F20" s="147"/>
      <c r="G20" s="147"/>
      <c r="H20" s="147"/>
      <c r="I20" s="148"/>
      <c r="J20" s="147"/>
      <c r="K20" s="148"/>
      <c r="L20" s="147"/>
      <c r="M20" s="148"/>
      <c r="N20" s="148"/>
      <c r="O20" s="147"/>
      <c r="P20" s="431"/>
      <c r="Q20" s="462"/>
    </row>
    <row r="21" spans="1:17" ht="408.75" customHeight="1" x14ac:dyDescent="0.4">
      <c r="A21" s="443" t="s">
        <v>14</v>
      </c>
      <c r="B21" s="418" t="s">
        <v>203</v>
      </c>
      <c r="C21" s="61" t="e">
        <f>SUM(C25:C27)</f>
        <v>#REF!</v>
      </c>
      <c r="D21" s="61" t="e">
        <f>SUM(D25:D27)</f>
        <v>#REF!</v>
      </c>
      <c r="E21" s="61" t="e">
        <f>SUM(E25:E27)</f>
        <v>#REF!</v>
      </c>
      <c r="F21" s="420">
        <f>F23+F24+F25</f>
        <v>8412952.2300000004</v>
      </c>
      <c r="G21" s="420">
        <f t="shared" ref="G21:H21" si="10">G23+G24+G25</f>
        <v>8456240.4299999997</v>
      </c>
      <c r="H21" s="420">
        <f t="shared" si="10"/>
        <v>4931277</v>
      </c>
      <c r="I21" s="445">
        <f>H21/G21</f>
        <v>0.57999999999999996</v>
      </c>
      <c r="J21" s="420">
        <f>J23+J24+J25</f>
        <v>4888500.12</v>
      </c>
      <c r="K21" s="422">
        <f>J21/G21</f>
        <v>0.57999999999999996</v>
      </c>
      <c r="L21" s="420">
        <f>L23+L24+L25</f>
        <v>8415905.3000000007</v>
      </c>
      <c r="M21" s="61">
        <f t="shared" ref="M21:O21" si="11">M23+M24+M25</f>
        <v>0</v>
      </c>
      <c r="N21" s="61">
        <f t="shared" si="11"/>
        <v>0</v>
      </c>
      <c r="O21" s="420">
        <f t="shared" si="11"/>
        <v>40335.129999999997</v>
      </c>
      <c r="P21" s="416" t="s">
        <v>221</v>
      </c>
      <c r="Q21" s="462"/>
    </row>
    <row r="22" spans="1:17" ht="243" customHeight="1" x14ac:dyDescent="0.4">
      <c r="A22" s="444"/>
      <c r="B22" s="419"/>
      <c r="C22" s="61"/>
      <c r="D22" s="61"/>
      <c r="E22" s="61"/>
      <c r="F22" s="421"/>
      <c r="G22" s="421"/>
      <c r="H22" s="421"/>
      <c r="I22" s="446"/>
      <c r="J22" s="421"/>
      <c r="K22" s="423"/>
      <c r="L22" s="421"/>
      <c r="M22" s="61"/>
      <c r="N22" s="61"/>
      <c r="O22" s="421"/>
      <c r="P22" s="416"/>
      <c r="Q22" s="462"/>
    </row>
    <row r="23" spans="1:17" ht="49.5" customHeight="1" x14ac:dyDescent="0.4">
      <c r="A23" s="370"/>
      <c r="B23" s="385" t="s">
        <v>4</v>
      </c>
      <c r="C23" s="61"/>
      <c r="D23" s="61"/>
      <c r="E23" s="61"/>
      <c r="F23" s="61"/>
      <c r="G23" s="61"/>
      <c r="H23" s="61"/>
      <c r="I23" s="79"/>
      <c r="J23" s="61"/>
      <c r="K23" s="79"/>
      <c r="L23" s="61"/>
      <c r="M23" s="79"/>
      <c r="N23" s="79"/>
      <c r="O23" s="61"/>
      <c r="P23" s="417"/>
      <c r="Q23" s="462"/>
    </row>
    <row r="24" spans="1:17" ht="49.5" customHeight="1" x14ac:dyDescent="0.4">
      <c r="A24" s="370"/>
      <c r="B24" s="385" t="s">
        <v>16</v>
      </c>
      <c r="C24" s="61"/>
      <c r="D24" s="61"/>
      <c r="E24" s="61"/>
      <c r="F24" s="147">
        <v>8393284.5999999996</v>
      </c>
      <c r="G24" s="147">
        <v>8436572.8000000007</v>
      </c>
      <c r="H24" s="147">
        <v>4925095.5</v>
      </c>
      <c r="I24" s="148">
        <f>H24/G24</f>
        <v>0.57999999999999996</v>
      </c>
      <c r="J24" s="147">
        <v>4882318.63</v>
      </c>
      <c r="K24" s="148">
        <f>J24/G24</f>
        <v>0.57999999999999996</v>
      </c>
      <c r="L24" s="147">
        <f>8372293.07+23887.1+57.5</f>
        <v>8396237.6699999999</v>
      </c>
      <c r="M24" s="338"/>
      <c r="N24" s="338"/>
      <c r="O24" s="147">
        <f>G24-L24</f>
        <v>40335.129999999997</v>
      </c>
      <c r="P24" s="417"/>
      <c r="Q24" s="462"/>
    </row>
    <row r="25" spans="1:17" ht="38.25" customHeight="1" x14ac:dyDescent="0.4">
      <c r="A25" s="339" t="s">
        <v>183</v>
      </c>
      <c r="B25" s="385" t="s">
        <v>11</v>
      </c>
      <c r="C25" s="65" t="e">
        <f>#REF!</f>
        <v>#REF!</v>
      </c>
      <c r="D25" s="65" t="e">
        <f>#REF!</f>
        <v>#REF!</v>
      </c>
      <c r="E25" s="65" t="e">
        <f>#REF!</f>
        <v>#REF!</v>
      </c>
      <c r="F25" s="65">
        <v>19667.63</v>
      </c>
      <c r="G25" s="65">
        <v>19667.63</v>
      </c>
      <c r="H25" s="65">
        <v>6181.5</v>
      </c>
      <c r="I25" s="148">
        <f>H25/G25</f>
        <v>0.31</v>
      </c>
      <c r="J25" s="65">
        <v>6181.49</v>
      </c>
      <c r="K25" s="148">
        <f>J25/G25</f>
        <v>0.31</v>
      </c>
      <c r="L25" s="65">
        <f>5957.38+2676.01+11034.24</f>
        <v>19667.63</v>
      </c>
      <c r="M25" s="74"/>
      <c r="N25" s="74"/>
      <c r="O25" s="65">
        <f>G25-L25</f>
        <v>0</v>
      </c>
      <c r="P25" s="417"/>
      <c r="Q25" s="462"/>
    </row>
    <row r="26" spans="1:17" ht="49.5" customHeight="1" x14ac:dyDescent="0.4">
      <c r="A26" s="339"/>
      <c r="B26" s="385" t="s">
        <v>13</v>
      </c>
      <c r="C26" s="65" t="e">
        <f>#REF!</f>
        <v>#REF!</v>
      </c>
      <c r="D26" s="65" t="e">
        <f>#REF!</f>
        <v>#REF!</v>
      </c>
      <c r="E26" s="65" t="e">
        <f>#REF!</f>
        <v>#REF!</v>
      </c>
      <c r="F26" s="65"/>
      <c r="G26" s="65"/>
      <c r="H26" s="65"/>
      <c r="I26" s="74"/>
      <c r="J26" s="65"/>
      <c r="K26" s="74"/>
      <c r="L26" s="65"/>
      <c r="M26" s="74"/>
      <c r="N26" s="74"/>
      <c r="O26" s="61"/>
      <c r="P26" s="417"/>
      <c r="Q26" s="462"/>
    </row>
    <row r="27" spans="1:17" ht="49.5" customHeight="1" x14ac:dyDescent="0.4">
      <c r="A27" s="339"/>
      <c r="B27" s="385" t="s">
        <v>5</v>
      </c>
      <c r="C27" s="65"/>
      <c r="D27" s="65"/>
      <c r="E27" s="65"/>
      <c r="F27" s="65"/>
      <c r="G27" s="65"/>
      <c r="H27" s="89"/>
      <c r="I27" s="90"/>
      <c r="J27" s="89"/>
      <c r="K27" s="90"/>
      <c r="L27" s="65"/>
      <c r="M27" s="74"/>
      <c r="N27" s="74"/>
      <c r="O27" s="340"/>
      <c r="P27" s="417"/>
      <c r="Q27" s="462"/>
    </row>
    <row r="28" spans="1:17" ht="408" customHeight="1" x14ac:dyDescent="0.4">
      <c r="A28" s="443" t="s">
        <v>15</v>
      </c>
      <c r="B28" s="418" t="s">
        <v>195</v>
      </c>
      <c r="C28" s="61" t="e">
        <f>SUM(C30:C34)</f>
        <v>#REF!</v>
      </c>
      <c r="D28" s="61" t="e">
        <f>SUM(D30:D34)</f>
        <v>#REF!</v>
      </c>
      <c r="E28" s="61" t="e">
        <f>SUM(E30:E34)</f>
        <v>#REF!</v>
      </c>
      <c r="F28" s="420">
        <f>F30+F31+F32+F33+F34</f>
        <v>371677.98</v>
      </c>
      <c r="G28" s="420">
        <f t="shared" ref="G28:O28" si="12">G30+G31+G32+G33+G34</f>
        <v>371677.98</v>
      </c>
      <c r="H28" s="420">
        <f t="shared" si="12"/>
        <v>222049.03</v>
      </c>
      <c r="I28" s="422">
        <f t="shared" ref="I28:I32" si="13">H28/G28</f>
        <v>0.6</v>
      </c>
      <c r="J28" s="420">
        <f t="shared" si="12"/>
        <v>162242.04</v>
      </c>
      <c r="K28" s="422">
        <f t="shared" ref="K28:K32" si="14">J28/G28</f>
        <v>0.44</v>
      </c>
      <c r="L28" s="420">
        <f t="shared" si="12"/>
        <v>371518.68</v>
      </c>
      <c r="M28" s="61">
        <f t="shared" si="12"/>
        <v>0</v>
      </c>
      <c r="N28" s="61">
        <f t="shared" si="12"/>
        <v>0</v>
      </c>
      <c r="O28" s="420">
        <f t="shared" si="12"/>
        <v>159.30000000000001</v>
      </c>
      <c r="P28" s="412" t="s">
        <v>222</v>
      </c>
      <c r="Q28" s="462"/>
    </row>
    <row r="29" spans="1:17" ht="163.5" customHeight="1" x14ac:dyDescent="0.4">
      <c r="A29" s="444"/>
      <c r="B29" s="419"/>
      <c r="C29" s="61"/>
      <c r="D29" s="61"/>
      <c r="E29" s="61"/>
      <c r="F29" s="421"/>
      <c r="G29" s="421"/>
      <c r="H29" s="421"/>
      <c r="I29" s="423"/>
      <c r="J29" s="421"/>
      <c r="K29" s="423"/>
      <c r="L29" s="421"/>
      <c r="M29" s="61"/>
      <c r="N29" s="61"/>
      <c r="O29" s="421"/>
      <c r="P29" s="412"/>
      <c r="Q29" s="462"/>
    </row>
    <row r="30" spans="1:17" ht="45.75" customHeight="1" x14ac:dyDescent="0.4">
      <c r="A30" s="336"/>
      <c r="B30" s="385" t="s">
        <v>4</v>
      </c>
      <c r="C30" s="65" t="e">
        <f>#REF!</f>
        <v>#REF!</v>
      </c>
      <c r="D30" s="65" t="e">
        <f>#REF!</f>
        <v>#REF!</v>
      </c>
      <c r="E30" s="65" t="e">
        <f>#REF!</f>
        <v>#REF!</v>
      </c>
      <c r="F30" s="65"/>
      <c r="G30" s="65"/>
      <c r="H30" s="65"/>
      <c r="I30" s="74"/>
      <c r="J30" s="65"/>
      <c r="K30" s="74"/>
      <c r="L30" s="65"/>
      <c r="M30" s="74"/>
      <c r="N30" s="74"/>
      <c r="O30" s="65"/>
      <c r="P30" s="412"/>
      <c r="Q30" s="462"/>
    </row>
    <row r="31" spans="1:17" ht="45.75" customHeight="1" x14ac:dyDescent="0.4">
      <c r="A31" s="336"/>
      <c r="B31" s="385" t="s">
        <v>187</v>
      </c>
      <c r="C31" s="65"/>
      <c r="D31" s="65"/>
      <c r="E31" s="65"/>
      <c r="F31" s="65">
        <v>337024.5</v>
      </c>
      <c r="G31" s="65">
        <v>337024.5</v>
      </c>
      <c r="H31" s="65">
        <v>204094.44</v>
      </c>
      <c r="I31" s="148">
        <f t="shared" si="13"/>
        <v>0.61</v>
      </c>
      <c r="J31" s="65">
        <v>144287.45000000001</v>
      </c>
      <c r="K31" s="148">
        <f t="shared" si="14"/>
        <v>0.43</v>
      </c>
      <c r="L31" s="147">
        <f>3565.66+103663.57+48629.2+181122.2</f>
        <v>336980.63</v>
      </c>
      <c r="M31" s="148"/>
      <c r="N31" s="148"/>
      <c r="O31" s="147">
        <f t="shared" ref="O31" si="15">G31-L31</f>
        <v>43.87</v>
      </c>
      <c r="P31" s="412"/>
      <c r="Q31" s="462"/>
    </row>
    <row r="32" spans="1:17" ht="45.75" customHeight="1" x14ac:dyDescent="0.4">
      <c r="A32" s="336"/>
      <c r="B32" s="385" t="s">
        <v>11</v>
      </c>
      <c r="C32" s="65"/>
      <c r="D32" s="65"/>
      <c r="E32" s="65"/>
      <c r="F32" s="65">
        <v>19330.919999999998</v>
      </c>
      <c r="G32" s="65">
        <v>19330.919999999998</v>
      </c>
      <c r="H32" s="65">
        <v>17954.59</v>
      </c>
      <c r="I32" s="148">
        <f t="shared" si="13"/>
        <v>0.93</v>
      </c>
      <c r="J32" s="65">
        <v>17954.59</v>
      </c>
      <c r="K32" s="148">
        <f t="shared" si="14"/>
        <v>0.93</v>
      </c>
      <c r="L32" s="147">
        <f>15749.98+3565.66</f>
        <v>19315.64</v>
      </c>
      <c r="M32" s="148"/>
      <c r="N32" s="148"/>
      <c r="O32" s="147">
        <f>G32-L32</f>
        <v>15.28</v>
      </c>
      <c r="P32" s="412"/>
      <c r="Q32" s="462"/>
    </row>
    <row r="33" spans="1:17" ht="45.75" customHeight="1" x14ac:dyDescent="0.4">
      <c r="A33" s="336"/>
      <c r="B33" s="385" t="s">
        <v>13</v>
      </c>
      <c r="C33" s="65"/>
      <c r="D33" s="65"/>
      <c r="E33" s="65"/>
      <c r="F33" s="65">
        <v>15322.56</v>
      </c>
      <c r="G33" s="65">
        <v>15322.56</v>
      </c>
      <c r="H33" s="65">
        <v>0</v>
      </c>
      <c r="I33" s="148">
        <f t="shared" ref="I33" si="16">H33/G33</f>
        <v>0</v>
      </c>
      <c r="J33" s="65"/>
      <c r="K33" s="148">
        <f t="shared" ref="K33" si="17">J33/G33</f>
        <v>0</v>
      </c>
      <c r="L33" s="65">
        <v>15222.41</v>
      </c>
      <c r="M33" s="74"/>
      <c r="N33" s="74"/>
      <c r="O33" s="147">
        <f>G33-L33</f>
        <v>100.15</v>
      </c>
      <c r="P33" s="412"/>
      <c r="Q33" s="462"/>
    </row>
    <row r="34" spans="1:17" ht="45.75" customHeight="1" x14ac:dyDescent="0.4">
      <c r="A34" s="336"/>
      <c r="B34" s="385" t="s">
        <v>5</v>
      </c>
      <c r="C34" s="65" t="e">
        <f>#REF!</f>
        <v>#REF!</v>
      </c>
      <c r="D34" s="65" t="e">
        <f>#REF!</f>
        <v>#REF!</v>
      </c>
      <c r="E34" s="65" t="e">
        <f>#REF!</f>
        <v>#REF!</v>
      </c>
      <c r="F34" s="65"/>
      <c r="G34" s="65"/>
      <c r="H34" s="65"/>
      <c r="I34" s="74"/>
      <c r="J34" s="65"/>
      <c r="K34" s="74"/>
      <c r="L34" s="65"/>
      <c r="M34" s="74"/>
      <c r="N34" s="74"/>
      <c r="O34" s="340"/>
      <c r="P34" s="412"/>
      <c r="Q34" s="462"/>
    </row>
    <row r="35" spans="1:17" s="301" customFormat="1" ht="96" customHeight="1" x14ac:dyDescent="0.25">
      <c r="A35" s="175" t="s">
        <v>57</v>
      </c>
      <c r="B35" s="388" t="s">
        <v>69</v>
      </c>
      <c r="C35" s="61" t="e">
        <f>#REF!+#REF!+#REF!+#REF!+#REF!</f>
        <v>#REF!</v>
      </c>
      <c r="D35" s="61" t="e">
        <f>#REF!+#REF!+#REF!+#REF!+#REF!</f>
        <v>#REF!</v>
      </c>
      <c r="E35" s="61" t="e">
        <f>#REF!+#REF!+#REF!+#REF!+#REF!</f>
        <v>#REF!</v>
      </c>
      <c r="F35" s="61"/>
      <c r="G35" s="61"/>
      <c r="H35" s="99"/>
      <c r="I35" s="70"/>
      <c r="J35" s="61"/>
      <c r="K35" s="133"/>
      <c r="L35" s="70"/>
      <c r="M35" s="70"/>
      <c r="N35" s="70"/>
      <c r="O35" s="70"/>
      <c r="P35" s="341" t="s">
        <v>124</v>
      </c>
      <c r="Q35" s="462"/>
    </row>
    <row r="36" spans="1:17" ht="349.5" customHeight="1" x14ac:dyDescent="0.4">
      <c r="A36" s="383" t="s">
        <v>1</v>
      </c>
      <c r="B36" s="389" t="s">
        <v>196</v>
      </c>
      <c r="C36" s="61" t="e">
        <f>SUM(C37:C41)</f>
        <v>#REF!</v>
      </c>
      <c r="D36" s="61" t="e">
        <f>SUM(D37:D41)</f>
        <v>#REF!</v>
      </c>
      <c r="E36" s="61" t="e">
        <f>SUM(E37:E41)</f>
        <v>#REF!</v>
      </c>
      <c r="F36" s="61">
        <f>F37+F38+F39</f>
        <v>174321.68</v>
      </c>
      <c r="G36" s="61">
        <f t="shared" ref="G36:H36" si="18">G37+G38+G39</f>
        <v>174307.38</v>
      </c>
      <c r="H36" s="61">
        <f t="shared" si="18"/>
        <v>127090.79</v>
      </c>
      <c r="I36" s="174">
        <f t="shared" ref="I36" si="19">H36/G36</f>
        <v>0.73</v>
      </c>
      <c r="J36" s="121">
        <f>J37+J38+J39</f>
        <v>123808.29</v>
      </c>
      <c r="K36" s="174">
        <f t="shared" ref="K36" si="20">J36/G36</f>
        <v>0.71</v>
      </c>
      <c r="L36" s="61">
        <f>L37+L38+L39</f>
        <v>174307.38</v>
      </c>
      <c r="M36" s="61">
        <f t="shared" ref="M36:O36" si="21">M37+M38+M39</f>
        <v>0</v>
      </c>
      <c r="N36" s="61">
        <f t="shared" si="21"/>
        <v>0</v>
      </c>
      <c r="O36" s="121">
        <f t="shared" si="21"/>
        <v>0</v>
      </c>
      <c r="P36" s="416" t="s">
        <v>212</v>
      </c>
      <c r="Q36" s="462"/>
    </row>
    <row r="37" spans="1:17" ht="75" customHeight="1" x14ac:dyDescent="0.4">
      <c r="A37" s="336"/>
      <c r="B37" s="385" t="s">
        <v>4</v>
      </c>
      <c r="C37" s="65" t="e">
        <f>#REF!</f>
        <v>#REF!</v>
      </c>
      <c r="D37" s="65" t="e">
        <f>#REF!</f>
        <v>#REF!</v>
      </c>
      <c r="E37" s="65" t="e">
        <f>#REF!</f>
        <v>#REF!</v>
      </c>
      <c r="F37" s="65">
        <v>100.1</v>
      </c>
      <c r="G37" s="65">
        <v>85.8</v>
      </c>
      <c r="H37" s="125">
        <v>85.8</v>
      </c>
      <c r="I37" s="148">
        <f t="shared" ref="I37:I39" si="22">H37/G37</f>
        <v>1</v>
      </c>
      <c r="J37" s="125">
        <v>0</v>
      </c>
      <c r="K37" s="130">
        <f t="shared" ref="K37:K39" si="23">J37/G37</f>
        <v>0</v>
      </c>
      <c r="L37" s="208">
        <v>85.8</v>
      </c>
      <c r="M37" s="74"/>
      <c r="N37" s="74"/>
      <c r="O37" s="147">
        <f>G37-L37</f>
        <v>0</v>
      </c>
      <c r="P37" s="417"/>
      <c r="Q37" s="462"/>
    </row>
    <row r="38" spans="1:17" ht="62.25" customHeight="1" x14ac:dyDescent="0.4">
      <c r="A38" s="336"/>
      <c r="B38" s="385" t="s">
        <v>187</v>
      </c>
      <c r="C38" s="65"/>
      <c r="D38" s="65"/>
      <c r="E38" s="65"/>
      <c r="F38" s="65">
        <v>165144.4</v>
      </c>
      <c r="G38" s="65">
        <v>165144.4</v>
      </c>
      <c r="H38" s="125">
        <v>120306.91</v>
      </c>
      <c r="I38" s="148">
        <f t="shared" si="22"/>
        <v>0.73</v>
      </c>
      <c r="J38" s="125">
        <v>117110.21</v>
      </c>
      <c r="K38" s="130">
        <f t="shared" si="23"/>
        <v>0.71</v>
      </c>
      <c r="L38" s="208">
        <f>189.9+164954.5</f>
        <v>165144.4</v>
      </c>
      <c r="M38" s="74"/>
      <c r="N38" s="74"/>
      <c r="O38" s="147">
        <f t="shared" ref="O38:O39" si="24">G38-L38</f>
        <v>0</v>
      </c>
      <c r="P38" s="417"/>
      <c r="Q38" s="462"/>
    </row>
    <row r="39" spans="1:17" ht="82.5" customHeight="1" x14ac:dyDescent="0.4">
      <c r="A39" s="336"/>
      <c r="B39" s="385" t="s">
        <v>11</v>
      </c>
      <c r="C39" s="65"/>
      <c r="D39" s="65"/>
      <c r="E39" s="65"/>
      <c r="F39" s="65">
        <v>9077.18</v>
      </c>
      <c r="G39" s="65">
        <v>9077.18</v>
      </c>
      <c r="H39" s="125">
        <v>6698.08</v>
      </c>
      <c r="I39" s="148">
        <f t="shared" si="22"/>
        <v>0.74</v>
      </c>
      <c r="J39" s="125">
        <v>6698.08</v>
      </c>
      <c r="K39" s="130">
        <f t="shared" si="23"/>
        <v>0.74</v>
      </c>
      <c r="L39" s="241">
        <f>638.38+8438.8</f>
        <v>9077.18</v>
      </c>
      <c r="M39" s="74"/>
      <c r="N39" s="74"/>
      <c r="O39" s="147">
        <f t="shared" si="24"/>
        <v>0</v>
      </c>
      <c r="P39" s="417"/>
      <c r="Q39" s="462"/>
    </row>
    <row r="40" spans="1:17" ht="69.75" customHeight="1" x14ac:dyDescent="0.4">
      <c r="A40" s="336"/>
      <c r="B40" s="385" t="s">
        <v>13</v>
      </c>
      <c r="C40" s="65" t="e">
        <f>#REF!</f>
        <v>#REF!</v>
      </c>
      <c r="D40" s="65" t="e">
        <f>#REF!</f>
        <v>#REF!</v>
      </c>
      <c r="E40" s="65" t="e">
        <f>#REF!</f>
        <v>#REF!</v>
      </c>
      <c r="F40" s="65"/>
      <c r="G40" s="65"/>
      <c r="H40" s="65"/>
      <c r="I40" s="104"/>
      <c r="J40" s="125"/>
      <c r="K40" s="342"/>
      <c r="L40" s="125"/>
      <c r="M40" s="74"/>
      <c r="N40" s="74"/>
      <c r="O40" s="65"/>
      <c r="P40" s="417"/>
      <c r="Q40" s="462"/>
    </row>
    <row r="41" spans="1:17" ht="122.25" customHeight="1" x14ac:dyDescent="0.4">
      <c r="A41" s="336"/>
      <c r="B41" s="385" t="s">
        <v>5</v>
      </c>
      <c r="C41" s="65" t="e">
        <f>#REF!</f>
        <v>#REF!</v>
      </c>
      <c r="D41" s="65" t="e">
        <f>#REF!</f>
        <v>#REF!</v>
      </c>
      <c r="E41" s="65" t="e">
        <f>#REF!</f>
        <v>#REF!</v>
      </c>
      <c r="F41" s="65"/>
      <c r="G41" s="65"/>
      <c r="H41" s="65"/>
      <c r="I41" s="74"/>
      <c r="J41" s="125"/>
      <c r="K41" s="130"/>
      <c r="L41" s="125"/>
      <c r="M41" s="74"/>
      <c r="N41" s="74"/>
      <c r="O41" s="65"/>
      <c r="P41" s="417"/>
      <c r="Q41" s="462"/>
    </row>
    <row r="42" spans="1:17" s="301" customFormat="1" ht="253.5" customHeight="1" x14ac:dyDescent="0.25">
      <c r="A42" s="175" t="s">
        <v>10</v>
      </c>
      <c r="B42" s="388" t="s">
        <v>197</v>
      </c>
      <c r="C42" s="61" t="e">
        <f>C43+C46+C47+#REF!+#REF!</f>
        <v>#REF!</v>
      </c>
      <c r="D42" s="61" t="e">
        <f>D43+D46+D47+#REF!+#REF!</f>
        <v>#REF!</v>
      </c>
      <c r="E42" s="61" t="e">
        <f>E43+E46+E47+#REF!+#REF!</f>
        <v>#REF!</v>
      </c>
      <c r="F42" s="61">
        <f>F43+F44+F45+F46</f>
        <v>273262.64</v>
      </c>
      <c r="G42" s="61">
        <f>G43+G44+G45+G46</f>
        <v>273915.15000000002</v>
      </c>
      <c r="H42" s="61">
        <v>0</v>
      </c>
      <c r="I42" s="108"/>
      <c r="J42" s="121"/>
      <c r="K42" s="122"/>
      <c r="L42" s="121">
        <f>L43+L44+L45+L46</f>
        <v>273915.15000000002</v>
      </c>
      <c r="M42" s="70"/>
      <c r="N42" s="70"/>
      <c r="O42" s="406">
        <f>G42-L42</f>
        <v>0</v>
      </c>
      <c r="P42" s="411" t="s">
        <v>214</v>
      </c>
      <c r="Q42" s="462"/>
    </row>
    <row r="43" spans="1:17" s="299" customFormat="1" ht="38.25" customHeight="1" x14ac:dyDescent="0.25">
      <c r="A43" s="343"/>
      <c r="B43" s="385" t="s">
        <v>4</v>
      </c>
      <c r="C43" s="65" t="e">
        <f>#REF!+#REF!</f>
        <v>#REF!</v>
      </c>
      <c r="D43" s="65" t="e">
        <f>#REF!+#REF!</f>
        <v>#REF!</v>
      </c>
      <c r="E43" s="65" t="e">
        <f>#REF!+#REF!</f>
        <v>#REF!</v>
      </c>
      <c r="F43" s="65"/>
      <c r="G43" s="65"/>
      <c r="H43" s="125"/>
      <c r="I43" s="130"/>
      <c r="J43" s="125"/>
      <c r="K43" s="130"/>
      <c r="L43" s="65"/>
      <c r="M43" s="74"/>
      <c r="N43" s="74"/>
      <c r="O43" s="406">
        <f t="shared" ref="O43:O46" si="25">G43-L43</f>
        <v>0</v>
      </c>
      <c r="P43" s="411"/>
      <c r="Q43" s="462"/>
    </row>
    <row r="44" spans="1:17" s="299" customFormat="1" ht="48.75" customHeight="1" x14ac:dyDescent="0.25">
      <c r="A44" s="343"/>
      <c r="B44" s="385" t="s">
        <v>187</v>
      </c>
      <c r="C44" s="65"/>
      <c r="D44" s="65"/>
      <c r="E44" s="65"/>
      <c r="F44" s="65">
        <f>249407.3</f>
        <v>249407.3</v>
      </c>
      <c r="G44" s="65">
        <f>652.5+249407.3</f>
        <v>250059.8</v>
      </c>
      <c r="H44" s="125">
        <v>652.5</v>
      </c>
      <c r="I44" s="130"/>
      <c r="J44" s="125"/>
      <c r="K44" s="130"/>
      <c r="L44" s="208">
        <v>250059.8</v>
      </c>
      <c r="M44" s="74"/>
      <c r="N44" s="74"/>
      <c r="O44" s="406">
        <f t="shared" si="25"/>
        <v>0</v>
      </c>
      <c r="P44" s="411"/>
      <c r="Q44" s="462"/>
    </row>
    <row r="45" spans="1:17" s="299" customFormat="1" ht="48.75" customHeight="1" x14ac:dyDescent="0.25">
      <c r="A45" s="343"/>
      <c r="B45" s="385" t="s">
        <v>11</v>
      </c>
      <c r="C45" s="65"/>
      <c r="D45" s="65"/>
      <c r="E45" s="65"/>
      <c r="F45" s="125">
        <v>13126.7</v>
      </c>
      <c r="G45" s="65">
        <v>13126.7</v>
      </c>
      <c r="H45" s="125"/>
      <c r="I45" s="130"/>
      <c r="K45" s="125">
        <v>0</v>
      </c>
      <c r="L45" s="208">
        <f>13126.7</f>
        <v>13126.7</v>
      </c>
      <c r="M45" s="74"/>
      <c r="N45" s="74"/>
      <c r="O45" s="406">
        <f t="shared" si="25"/>
        <v>0</v>
      </c>
      <c r="P45" s="411"/>
      <c r="Q45" s="462"/>
    </row>
    <row r="46" spans="1:17" s="299" customFormat="1" ht="48.75" customHeight="1" x14ac:dyDescent="0.25">
      <c r="A46" s="343"/>
      <c r="B46" s="385" t="s">
        <v>13</v>
      </c>
      <c r="C46" s="65"/>
      <c r="D46" s="65"/>
      <c r="E46" s="65"/>
      <c r="F46" s="65">
        <v>10728.64</v>
      </c>
      <c r="G46" s="65">
        <v>10728.65</v>
      </c>
      <c r="H46" s="125"/>
      <c r="I46" s="130"/>
      <c r="J46" s="125"/>
      <c r="K46" s="130"/>
      <c r="L46" s="208">
        <v>10728.65</v>
      </c>
      <c r="M46" s="74"/>
      <c r="N46" s="74"/>
      <c r="O46" s="406">
        <f t="shared" si="25"/>
        <v>0</v>
      </c>
      <c r="P46" s="411"/>
      <c r="Q46" s="462"/>
    </row>
    <row r="47" spans="1:17" s="299" customFormat="1" ht="48.75" customHeight="1" x14ac:dyDescent="0.25">
      <c r="A47" s="343"/>
      <c r="B47" s="385" t="s">
        <v>5</v>
      </c>
      <c r="C47" s="65"/>
      <c r="D47" s="65"/>
      <c r="E47" s="65"/>
      <c r="F47" s="65"/>
      <c r="G47" s="65"/>
      <c r="H47" s="125"/>
      <c r="I47" s="130"/>
      <c r="J47" s="125"/>
      <c r="K47" s="130"/>
      <c r="L47" s="65"/>
      <c r="M47" s="74"/>
      <c r="N47" s="74"/>
      <c r="O47" s="74"/>
      <c r="P47" s="411"/>
      <c r="Q47" s="462"/>
    </row>
    <row r="48" spans="1:17" s="299" customFormat="1" ht="339" customHeight="1" x14ac:dyDescent="0.25">
      <c r="A48" s="175" t="s">
        <v>58</v>
      </c>
      <c r="B48" s="388" t="s">
        <v>198</v>
      </c>
      <c r="C48" s="61" t="e">
        <f>SUM(C53:C53)</f>
        <v>#REF!</v>
      </c>
      <c r="D48" s="61" t="e">
        <f>SUM(D53:D53)</f>
        <v>#REF!</v>
      </c>
      <c r="E48" s="61" t="e">
        <f>SUM(E53:E53)</f>
        <v>#REF!</v>
      </c>
      <c r="F48" s="61">
        <f>F49+F50+F51+F52</f>
        <v>8804.68</v>
      </c>
      <c r="G48" s="61">
        <f t="shared" ref="G48:H48" si="26">G49+G50+G51+G52</f>
        <v>8804.68</v>
      </c>
      <c r="H48" s="61">
        <f t="shared" si="26"/>
        <v>4683.34</v>
      </c>
      <c r="I48" s="174">
        <f t="shared" ref="I48:I50" si="27">H48/G48</f>
        <v>0.53</v>
      </c>
      <c r="J48" s="61">
        <f>J49+J50+J51+J52</f>
        <v>4362.6899999999996</v>
      </c>
      <c r="K48" s="174">
        <f t="shared" ref="K48:K50" si="28">J48/G48</f>
        <v>0.5</v>
      </c>
      <c r="L48" s="61">
        <f>L49+L50+L51+L52</f>
        <v>8804.68</v>
      </c>
      <c r="M48" s="61"/>
      <c r="N48" s="61"/>
      <c r="O48" s="61">
        <f>G48-L48</f>
        <v>0</v>
      </c>
      <c r="P48" s="412" t="s">
        <v>218</v>
      </c>
      <c r="Q48" s="462"/>
    </row>
    <row r="49" spans="1:17" s="299" customFormat="1" ht="39" customHeight="1" x14ac:dyDescent="0.25">
      <c r="A49" s="336"/>
      <c r="B49" s="385" t="s">
        <v>4</v>
      </c>
      <c r="C49" s="61"/>
      <c r="D49" s="61"/>
      <c r="E49" s="61"/>
      <c r="F49" s="61"/>
      <c r="G49" s="61"/>
      <c r="H49" s="61"/>
      <c r="I49" s="70"/>
      <c r="J49" s="61"/>
      <c r="K49" s="70"/>
      <c r="L49" s="61"/>
      <c r="M49" s="61"/>
      <c r="N49" s="61"/>
      <c r="O49" s="61">
        <f t="shared" ref="O49" si="29">G49-L49</f>
        <v>0</v>
      </c>
      <c r="P49" s="412"/>
      <c r="Q49" s="462"/>
    </row>
    <row r="50" spans="1:17" s="299" customFormat="1" ht="75" customHeight="1" x14ac:dyDescent="0.25">
      <c r="A50" s="336"/>
      <c r="B50" s="385" t="s">
        <v>16</v>
      </c>
      <c r="C50" s="61"/>
      <c r="D50" s="61"/>
      <c r="E50" s="61"/>
      <c r="F50" s="147">
        <v>8804.68</v>
      </c>
      <c r="G50" s="147">
        <v>8804.68</v>
      </c>
      <c r="H50" s="147">
        <f>233.34+4450</f>
        <v>4683.34</v>
      </c>
      <c r="I50" s="148">
        <f t="shared" si="27"/>
        <v>0.53</v>
      </c>
      <c r="J50" s="147">
        <v>4362.6899999999996</v>
      </c>
      <c r="K50" s="148">
        <f t="shared" si="28"/>
        <v>0.5</v>
      </c>
      <c r="L50" s="61">
        <f>8024.62+511.1+218.07+50.89</f>
        <v>8804.68</v>
      </c>
      <c r="M50" s="61"/>
      <c r="N50" s="61"/>
      <c r="O50" s="61">
        <f>G50-L50</f>
        <v>0</v>
      </c>
      <c r="P50" s="412"/>
      <c r="Q50" s="462"/>
    </row>
    <row r="51" spans="1:17" s="299" customFormat="1" ht="39" customHeight="1" x14ac:dyDescent="0.25">
      <c r="A51" s="336"/>
      <c r="B51" s="385" t="s">
        <v>11</v>
      </c>
      <c r="C51" s="61"/>
      <c r="D51" s="61"/>
      <c r="E51" s="61"/>
      <c r="F51" s="61"/>
      <c r="G51" s="61"/>
      <c r="H51" s="61"/>
      <c r="I51" s="70"/>
      <c r="J51" s="61"/>
      <c r="K51" s="70"/>
      <c r="L51" s="60"/>
      <c r="M51" s="61"/>
      <c r="N51" s="61"/>
      <c r="O51" s="61"/>
      <c r="P51" s="412"/>
      <c r="Q51" s="462"/>
    </row>
    <row r="52" spans="1:17" s="299" customFormat="1" ht="86.25" customHeight="1" x14ac:dyDescent="0.25">
      <c r="A52" s="336"/>
      <c r="B52" s="385" t="s">
        <v>13</v>
      </c>
      <c r="C52" s="61"/>
      <c r="D52" s="61"/>
      <c r="E52" s="61"/>
      <c r="F52" s="61"/>
      <c r="G52" s="61"/>
      <c r="H52" s="61"/>
      <c r="I52" s="70"/>
      <c r="J52" s="61"/>
      <c r="K52" s="70"/>
      <c r="L52" s="61"/>
      <c r="M52" s="61"/>
      <c r="N52" s="61"/>
      <c r="O52" s="61"/>
      <c r="P52" s="412"/>
      <c r="Q52" s="462"/>
    </row>
    <row r="53" spans="1:17" s="299" customFormat="1" ht="51.75" customHeight="1" x14ac:dyDescent="0.25">
      <c r="A53" s="336"/>
      <c r="B53" s="385" t="s">
        <v>5</v>
      </c>
      <c r="C53" s="65" t="e">
        <f>#REF!+#REF!</f>
        <v>#REF!</v>
      </c>
      <c r="D53" s="65" t="e">
        <f>#REF!+#REF!</f>
        <v>#REF!</v>
      </c>
      <c r="E53" s="65" t="e">
        <f>#REF!+#REF!</f>
        <v>#REF!</v>
      </c>
      <c r="F53" s="65"/>
      <c r="G53" s="65"/>
      <c r="H53" s="65"/>
      <c r="I53" s="74"/>
      <c r="J53" s="65"/>
      <c r="K53" s="74"/>
      <c r="L53" s="65"/>
      <c r="M53" s="65"/>
      <c r="N53" s="65"/>
      <c r="O53" s="61">
        <f>G53-L53</f>
        <v>0</v>
      </c>
      <c r="P53" s="412"/>
      <c r="Q53" s="462"/>
    </row>
    <row r="54" spans="1:17" s="302" customFormat="1" ht="409.5" customHeight="1" x14ac:dyDescent="0.25">
      <c r="A54" s="175" t="s">
        <v>20</v>
      </c>
      <c r="B54" s="388" t="s">
        <v>191</v>
      </c>
      <c r="C54" s="61">
        <f>SUM(C55:C59)</f>
        <v>0</v>
      </c>
      <c r="D54" s="61">
        <f>SUM(D55:D59)</f>
        <v>0</v>
      </c>
      <c r="E54" s="61">
        <f>SUM(E55:E59)</f>
        <v>0</v>
      </c>
      <c r="F54" s="121">
        <f>F55+F56+F57+F58+F59</f>
        <v>14754.16</v>
      </c>
      <c r="G54" s="121">
        <f>G55+G56+G57+G58+G59</f>
        <v>14754.16</v>
      </c>
      <c r="H54" s="121">
        <f t="shared" ref="H54" si="30">H55+H56+H57+H58+H59</f>
        <v>4885.3100000000004</v>
      </c>
      <c r="I54" s="122">
        <f>H54/G54</f>
        <v>0.33</v>
      </c>
      <c r="J54" s="121">
        <f>J55+J56+J57+J58+J59</f>
        <v>4756.01</v>
      </c>
      <c r="K54" s="122">
        <f>J54/G54</f>
        <v>0.32</v>
      </c>
      <c r="L54" s="121">
        <f>L55+L56+L57+L58+L59</f>
        <v>14025.62</v>
      </c>
      <c r="M54" s="121">
        <f t="shared" ref="M54" si="31">M55+M56+M57+M58+M59</f>
        <v>0</v>
      </c>
      <c r="N54" s="121">
        <f t="shared" ref="N54" si="32">N55+N56+N57+N58+N59</f>
        <v>0</v>
      </c>
      <c r="O54" s="61">
        <f>O55+O56+O57+O58+O59</f>
        <v>728.54</v>
      </c>
      <c r="P54" s="430" t="s">
        <v>209</v>
      </c>
      <c r="Q54" s="462"/>
    </row>
    <row r="55" spans="1:17" s="299" customFormat="1" ht="32.25" customHeight="1" x14ac:dyDescent="0.25">
      <c r="A55" s="175"/>
      <c r="B55" s="385" t="s">
        <v>4</v>
      </c>
      <c r="C55" s="65"/>
      <c r="D55" s="65"/>
      <c r="E55" s="65"/>
      <c r="F55" s="65">
        <v>722.8</v>
      </c>
      <c r="G55" s="65">
        <v>722.8</v>
      </c>
      <c r="H55" s="65">
        <v>100</v>
      </c>
      <c r="I55" s="148">
        <f t="shared" ref="I55:I57" si="33">H55/G55</f>
        <v>0.14000000000000001</v>
      </c>
      <c r="J55" s="65">
        <v>0</v>
      </c>
      <c r="K55" s="74"/>
      <c r="L55" s="65">
        <v>473.1</v>
      </c>
      <c r="M55" s="65"/>
      <c r="N55" s="65"/>
      <c r="O55" s="147">
        <f>G55-L55</f>
        <v>249.7</v>
      </c>
      <c r="P55" s="430"/>
      <c r="Q55" s="462"/>
    </row>
    <row r="56" spans="1:17" s="299" customFormat="1" ht="32.25" customHeight="1" x14ac:dyDescent="0.25">
      <c r="A56" s="175"/>
      <c r="B56" s="385" t="s">
        <v>187</v>
      </c>
      <c r="C56" s="65"/>
      <c r="D56" s="65"/>
      <c r="E56" s="65"/>
      <c r="F56" s="65">
        <v>3492</v>
      </c>
      <c r="G56" s="65">
        <v>3492</v>
      </c>
      <c r="H56" s="65">
        <v>1092</v>
      </c>
      <c r="I56" s="148">
        <f t="shared" si="33"/>
        <v>0.31</v>
      </c>
      <c r="J56" s="65">
        <v>1062.7</v>
      </c>
      <c r="K56" s="148">
        <f t="shared" ref="K56:K57" si="34">J56/G56</f>
        <v>0.3</v>
      </c>
      <c r="L56" s="65">
        <f>1921.4+1092</f>
        <v>3013.4</v>
      </c>
      <c r="M56" s="65"/>
      <c r="N56" s="65"/>
      <c r="O56" s="147">
        <f>G56-L56</f>
        <v>478.6</v>
      </c>
      <c r="P56" s="430"/>
      <c r="Q56" s="462"/>
    </row>
    <row r="57" spans="1:17" s="299" customFormat="1" ht="32.25" customHeight="1" x14ac:dyDescent="0.25">
      <c r="A57" s="175"/>
      <c r="B57" s="385" t="s">
        <v>11</v>
      </c>
      <c r="C57" s="65"/>
      <c r="D57" s="65"/>
      <c r="E57" s="65"/>
      <c r="F57" s="65">
        <v>10539.36</v>
      </c>
      <c r="G57" s="65">
        <v>10539.36</v>
      </c>
      <c r="H57" s="65">
        <v>3693.31</v>
      </c>
      <c r="I57" s="148">
        <f t="shared" si="33"/>
        <v>0.35</v>
      </c>
      <c r="J57" s="65">
        <v>3693.31</v>
      </c>
      <c r="K57" s="148">
        <f t="shared" si="34"/>
        <v>0.35</v>
      </c>
      <c r="L57" s="65">
        <v>10539.12</v>
      </c>
      <c r="M57" s="65"/>
      <c r="N57" s="65"/>
      <c r="O57" s="147">
        <f t="shared" ref="O57" si="35">G57-L57</f>
        <v>0.24</v>
      </c>
      <c r="P57" s="430"/>
      <c r="Q57" s="462"/>
    </row>
    <row r="58" spans="1:17" s="299" customFormat="1" ht="32.25" customHeight="1" x14ac:dyDescent="0.25">
      <c r="A58" s="175"/>
      <c r="B58" s="385" t="s">
        <v>13</v>
      </c>
      <c r="C58" s="65"/>
      <c r="D58" s="65"/>
      <c r="E58" s="65"/>
      <c r="F58" s="65"/>
      <c r="G58" s="65"/>
      <c r="H58" s="65"/>
      <c r="I58" s="74"/>
      <c r="J58" s="65"/>
      <c r="K58" s="74"/>
      <c r="L58" s="65"/>
      <c r="M58" s="65"/>
      <c r="N58" s="65"/>
      <c r="O58" s="65"/>
      <c r="P58" s="430"/>
      <c r="Q58" s="462"/>
    </row>
    <row r="59" spans="1:17" s="299" customFormat="1" ht="32.25" customHeight="1" x14ac:dyDescent="0.25">
      <c r="A59" s="175"/>
      <c r="B59" s="385" t="s">
        <v>5</v>
      </c>
      <c r="C59" s="65"/>
      <c r="D59" s="65"/>
      <c r="E59" s="65"/>
      <c r="F59" s="65"/>
      <c r="G59" s="65"/>
      <c r="H59" s="65"/>
      <c r="I59" s="74"/>
      <c r="J59" s="65"/>
      <c r="K59" s="74"/>
      <c r="L59" s="65"/>
      <c r="M59" s="65"/>
      <c r="N59" s="65"/>
      <c r="O59" s="65"/>
      <c r="P59" s="430"/>
      <c r="Q59" s="462"/>
    </row>
    <row r="60" spans="1:17" s="299" customFormat="1" ht="138.75" customHeight="1" outlineLevel="1" x14ac:dyDescent="0.25">
      <c r="A60" s="175" t="s">
        <v>21</v>
      </c>
      <c r="B60" s="388" t="s">
        <v>101</v>
      </c>
      <c r="C60" s="61" t="e">
        <f>#REF!+#REF!+#REF!+#REF!+#REF!</f>
        <v>#REF!</v>
      </c>
      <c r="D60" s="61" t="e">
        <f>#REF!+#REF!+#REF!+#REF!+#REF!</f>
        <v>#REF!</v>
      </c>
      <c r="E60" s="61" t="e">
        <f>#REF!+#REF!+#REF!+#REF!+#REF!</f>
        <v>#REF!</v>
      </c>
      <c r="F60" s="107"/>
      <c r="G60" s="107"/>
      <c r="H60" s="115"/>
      <c r="I60" s="108"/>
      <c r="J60" s="107"/>
      <c r="K60" s="108"/>
      <c r="L60" s="108"/>
      <c r="M60" s="70"/>
      <c r="N60" s="70"/>
      <c r="O60" s="70"/>
      <c r="P60" s="341" t="s">
        <v>124</v>
      </c>
      <c r="Q60" s="462"/>
    </row>
    <row r="61" spans="1:17" s="303" customFormat="1" ht="106.5" customHeight="1" x14ac:dyDescent="0.25">
      <c r="A61" s="175" t="s">
        <v>22</v>
      </c>
      <c r="B61" s="388" t="s">
        <v>102</v>
      </c>
      <c r="C61" s="61" t="e">
        <f>#REF!+#REF!+#REF!+#REF!+#REF!</f>
        <v>#REF!</v>
      </c>
      <c r="D61" s="61" t="e">
        <f>#REF!+#REF!+#REF!+#REF!+#REF!</f>
        <v>#REF!</v>
      </c>
      <c r="E61" s="61" t="e">
        <f>#REF!+#REF!+#REF!+#REF!+#REF!</f>
        <v>#REF!</v>
      </c>
      <c r="F61" s="107"/>
      <c r="G61" s="107"/>
      <c r="H61" s="115"/>
      <c r="I61" s="108"/>
      <c r="J61" s="107"/>
      <c r="K61" s="108"/>
      <c r="L61" s="108"/>
      <c r="M61" s="70"/>
      <c r="N61" s="70"/>
      <c r="O61" s="70"/>
      <c r="P61" s="341" t="s">
        <v>124</v>
      </c>
      <c r="Q61" s="462"/>
    </row>
    <row r="62" spans="1:17" s="307" customFormat="1" ht="99" customHeight="1" x14ac:dyDescent="0.25">
      <c r="A62" s="384" t="s">
        <v>23</v>
      </c>
      <c r="B62" s="388" t="s">
        <v>192</v>
      </c>
      <c r="C62" s="304"/>
      <c r="D62" s="304"/>
      <c r="E62" s="304"/>
      <c r="F62" s="380">
        <f>SUM(F63:F67)</f>
        <v>1657537.01</v>
      </c>
      <c r="G62" s="380">
        <f t="shared" ref="G62:J62" si="36">SUM(G63:G67)</f>
        <v>1659056.36</v>
      </c>
      <c r="H62" s="380">
        <f t="shared" si="36"/>
        <v>1082147.79</v>
      </c>
      <c r="I62" s="381">
        <f t="shared" ref="I62:I92" si="37">H62/G62</f>
        <v>0.65</v>
      </c>
      <c r="J62" s="380">
        <f t="shared" si="36"/>
        <v>1061809.02</v>
      </c>
      <c r="K62" s="382">
        <f t="shared" ref="K62:K68" si="38">J62/G62</f>
        <v>0.64</v>
      </c>
      <c r="L62" s="380">
        <f>SUM(L63:L67)</f>
        <v>1635274.61</v>
      </c>
      <c r="M62" s="305">
        <f t="shared" ref="M62:N62" si="39">SUM(M63:M67)</f>
        <v>1659056.36</v>
      </c>
      <c r="N62" s="306">
        <f t="shared" si="39"/>
        <v>0</v>
      </c>
      <c r="O62" s="380">
        <f>SUM(O63:O67)</f>
        <v>23781.75</v>
      </c>
      <c r="P62" s="344"/>
      <c r="Q62" s="462"/>
    </row>
    <row r="63" spans="1:17" s="312" customFormat="1" ht="30.75" customHeight="1" x14ac:dyDescent="0.25">
      <c r="A63" s="346"/>
      <c r="B63" s="390" t="s">
        <v>4</v>
      </c>
      <c r="C63" s="308"/>
      <c r="D63" s="308"/>
      <c r="E63" s="308"/>
      <c r="F63" s="309">
        <f t="shared" ref="F63:H67" si="40">F69+F105</f>
        <v>17057.03</v>
      </c>
      <c r="G63" s="309">
        <f t="shared" si="40"/>
        <v>18576.38</v>
      </c>
      <c r="H63" s="309">
        <f t="shared" si="40"/>
        <v>16138.28</v>
      </c>
      <c r="I63" s="310">
        <f t="shared" si="37"/>
        <v>0.86899999999999999</v>
      </c>
      <c r="J63" s="309">
        <f>J69+J105</f>
        <v>6239.44</v>
      </c>
      <c r="K63" s="310">
        <f t="shared" si="38"/>
        <v>0.33600000000000002</v>
      </c>
      <c r="L63" s="309">
        <f>L69+L105</f>
        <v>16138.28</v>
      </c>
      <c r="M63" s="309">
        <f t="shared" ref="M63:N66" si="41">M69+M105</f>
        <v>18576.38</v>
      </c>
      <c r="N63" s="311">
        <f t="shared" si="41"/>
        <v>0</v>
      </c>
      <c r="O63" s="377">
        <f>O69+O105</f>
        <v>2438.1</v>
      </c>
      <c r="P63" s="345"/>
      <c r="Q63" s="462"/>
    </row>
    <row r="64" spans="1:17" s="312" customFormat="1" ht="30.75" customHeight="1" x14ac:dyDescent="0.25">
      <c r="A64" s="346"/>
      <c r="B64" s="390" t="s">
        <v>130</v>
      </c>
      <c r="C64" s="308"/>
      <c r="D64" s="308"/>
      <c r="E64" s="308"/>
      <c r="F64" s="309">
        <f t="shared" si="40"/>
        <v>1437380.31</v>
      </c>
      <c r="G64" s="309">
        <f t="shared" si="40"/>
        <v>1437380.31</v>
      </c>
      <c r="H64" s="309">
        <f t="shared" si="40"/>
        <v>951890.98</v>
      </c>
      <c r="I64" s="310">
        <f t="shared" si="37"/>
        <v>0.66200000000000003</v>
      </c>
      <c r="J64" s="309">
        <f>J70+J106</f>
        <v>941451.05</v>
      </c>
      <c r="K64" s="310">
        <f t="shared" si="38"/>
        <v>0.65500000000000003</v>
      </c>
      <c r="L64" s="309">
        <f>L70+L106</f>
        <v>1437224.16</v>
      </c>
      <c r="M64" s="309">
        <f t="shared" si="41"/>
        <v>1437380.31</v>
      </c>
      <c r="N64" s="311">
        <f t="shared" si="41"/>
        <v>0</v>
      </c>
      <c r="O64" s="377">
        <f>O70+O106</f>
        <v>156.15</v>
      </c>
      <c r="P64" s="345"/>
      <c r="Q64" s="462"/>
    </row>
    <row r="65" spans="1:17" s="312" customFormat="1" ht="30.75" customHeight="1" x14ac:dyDescent="0.25">
      <c r="A65" s="346"/>
      <c r="B65" s="390" t="s">
        <v>11</v>
      </c>
      <c r="C65" s="308"/>
      <c r="D65" s="308"/>
      <c r="E65" s="308"/>
      <c r="F65" s="309">
        <f t="shared" si="40"/>
        <v>201343.76</v>
      </c>
      <c r="G65" s="309">
        <f t="shared" si="40"/>
        <v>201343.76</v>
      </c>
      <c r="H65" s="309">
        <f t="shared" si="40"/>
        <v>114118.53</v>
      </c>
      <c r="I65" s="310">
        <f t="shared" si="37"/>
        <v>0.56699999999999995</v>
      </c>
      <c r="J65" s="313">
        <f>J71+J107</f>
        <v>114118.53</v>
      </c>
      <c r="K65" s="310">
        <f t="shared" si="38"/>
        <v>0.56699999999999995</v>
      </c>
      <c r="L65" s="309">
        <f>L71+L107</f>
        <v>180156.26</v>
      </c>
      <c r="M65" s="309">
        <f t="shared" si="41"/>
        <v>201343.76</v>
      </c>
      <c r="N65" s="311">
        <f t="shared" si="41"/>
        <v>0</v>
      </c>
      <c r="O65" s="377">
        <f>O71+O107</f>
        <v>21187.5</v>
      </c>
      <c r="P65" s="347"/>
      <c r="Q65" s="462"/>
    </row>
    <row r="66" spans="1:17" s="312" customFormat="1" ht="30.75" customHeight="1" x14ac:dyDescent="0.25">
      <c r="A66" s="348"/>
      <c r="B66" s="391" t="s">
        <v>13</v>
      </c>
      <c r="C66" s="314"/>
      <c r="D66" s="314"/>
      <c r="E66" s="314"/>
      <c r="F66" s="313">
        <f t="shared" si="40"/>
        <v>1755.91</v>
      </c>
      <c r="G66" s="313">
        <f t="shared" si="40"/>
        <v>1755.91</v>
      </c>
      <c r="H66" s="313">
        <f t="shared" si="40"/>
        <v>0</v>
      </c>
      <c r="I66" s="315">
        <f t="shared" si="37"/>
        <v>0</v>
      </c>
      <c r="J66" s="313">
        <f>J72+J108</f>
        <v>0</v>
      </c>
      <c r="K66" s="315">
        <f t="shared" si="38"/>
        <v>0</v>
      </c>
      <c r="L66" s="313">
        <f>L72+L108</f>
        <v>1755.91</v>
      </c>
      <c r="M66" s="313">
        <f t="shared" si="41"/>
        <v>1755.91</v>
      </c>
      <c r="N66" s="313">
        <f t="shared" si="41"/>
        <v>0</v>
      </c>
      <c r="O66" s="313">
        <f>O72+O108</f>
        <v>0</v>
      </c>
      <c r="P66" s="349"/>
      <c r="Q66" s="462"/>
    </row>
    <row r="67" spans="1:17" s="312" customFormat="1" ht="30.75" customHeight="1" collapsed="1" x14ac:dyDescent="0.25">
      <c r="A67" s="348"/>
      <c r="B67" s="391" t="s">
        <v>5</v>
      </c>
      <c r="C67" s="314"/>
      <c r="D67" s="314"/>
      <c r="E67" s="314"/>
      <c r="F67" s="313">
        <f t="shared" si="40"/>
        <v>0</v>
      </c>
      <c r="G67" s="313">
        <f t="shared" si="40"/>
        <v>0</v>
      </c>
      <c r="H67" s="313">
        <f t="shared" si="40"/>
        <v>0</v>
      </c>
      <c r="I67" s="315"/>
      <c r="J67" s="313"/>
      <c r="K67" s="315"/>
      <c r="L67" s="313">
        <f>L73+L109</f>
        <v>0</v>
      </c>
      <c r="M67" s="313"/>
      <c r="N67" s="313"/>
      <c r="O67" s="315"/>
      <c r="P67" s="349"/>
      <c r="Q67" s="462"/>
    </row>
    <row r="68" spans="1:17" s="307" customFormat="1" ht="25.5" x14ac:dyDescent="0.25">
      <c r="A68" s="350" t="s">
        <v>145</v>
      </c>
      <c r="B68" s="392" t="s">
        <v>179</v>
      </c>
      <c r="C68" s="317"/>
      <c r="D68" s="317"/>
      <c r="E68" s="317"/>
      <c r="F68" s="318">
        <f>SUM(F69:F73)</f>
        <v>1632434.03</v>
      </c>
      <c r="G68" s="318">
        <f t="shared" ref="G68:H68" si="42">SUM(G69:G73)</f>
        <v>1632434.03</v>
      </c>
      <c r="H68" s="318">
        <f t="shared" si="42"/>
        <v>1058346.8899999999</v>
      </c>
      <c r="I68" s="351">
        <f t="shared" si="37"/>
        <v>0.65</v>
      </c>
      <c r="J68" s="318">
        <f>SUM(J69:J73)</f>
        <v>1053091.6299999999</v>
      </c>
      <c r="K68" s="352">
        <f t="shared" si="38"/>
        <v>0.64500000000000002</v>
      </c>
      <c r="L68" s="378">
        <f>SUM(L69:L73)</f>
        <v>1611246.53</v>
      </c>
      <c r="M68" s="318">
        <f>SUM(M69:M73)</f>
        <v>1632434.03</v>
      </c>
      <c r="N68" s="318">
        <f>G68-M68</f>
        <v>0</v>
      </c>
      <c r="O68" s="61"/>
      <c r="P68" s="434"/>
      <c r="Q68" s="462"/>
    </row>
    <row r="69" spans="1:17" s="312" customFormat="1" x14ac:dyDescent="0.25">
      <c r="A69" s="353"/>
      <c r="B69" s="391" t="s">
        <v>4</v>
      </c>
      <c r="C69" s="314"/>
      <c r="D69" s="314"/>
      <c r="E69" s="314"/>
      <c r="F69" s="313">
        <f t="shared" ref="F69:H73" si="43">F75+F81+F87+F99</f>
        <v>0</v>
      </c>
      <c r="G69" s="313">
        <f t="shared" si="43"/>
        <v>0</v>
      </c>
      <c r="H69" s="313">
        <f t="shared" si="43"/>
        <v>0</v>
      </c>
      <c r="I69" s="316"/>
      <c r="J69" s="313"/>
      <c r="K69" s="313"/>
      <c r="L69" s="313">
        <f>L75+L81+L87+L99</f>
        <v>0</v>
      </c>
      <c r="M69" s="313"/>
      <c r="N69" s="313"/>
      <c r="O69" s="147">
        <f>G69-L69</f>
        <v>0</v>
      </c>
      <c r="P69" s="434"/>
      <c r="Q69" s="462"/>
    </row>
    <row r="70" spans="1:17" s="312" customFormat="1" x14ac:dyDescent="0.25">
      <c r="A70" s="353"/>
      <c r="B70" s="391" t="s">
        <v>186</v>
      </c>
      <c r="C70" s="314"/>
      <c r="D70" s="314"/>
      <c r="E70" s="314"/>
      <c r="F70" s="313">
        <f>F76+F82+F88+F100</f>
        <v>1429787.86</v>
      </c>
      <c r="G70" s="313">
        <f t="shared" si="43"/>
        <v>1429787.86</v>
      </c>
      <c r="H70" s="313">
        <f t="shared" si="43"/>
        <v>944298.53</v>
      </c>
      <c r="I70" s="316">
        <f t="shared" si="37"/>
        <v>0.66</v>
      </c>
      <c r="J70" s="313">
        <f>J76+J82+J88+J100</f>
        <v>939043.27</v>
      </c>
      <c r="K70" s="316">
        <f>J70/G70</f>
        <v>0.66</v>
      </c>
      <c r="L70" s="313">
        <f>L76+L82+L88+L100</f>
        <v>1429787.86</v>
      </c>
      <c r="M70" s="313">
        <f>M76+M82+M88+M100</f>
        <v>1429787.86</v>
      </c>
      <c r="N70" s="313">
        <f t="shared" ref="N70:N72" si="44">N76+N82+N88</f>
        <v>0</v>
      </c>
      <c r="O70" s="147">
        <f>G70-L70</f>
        <v>0</v>
      </c>
      <c r="P70" s="434"/>
      <c r="Q70" s="462"/>
    </row>
    <row r="71" spans="1:17" s="312" customFormat="1" x14ac:dyDescent="0.25">
      <c r="A71" s="353"/>
      <c r="B71" s="391" t="s">
        <v>11</v>
      </c>
      <c r="C71" s="314"/>
      <c r="D71" s="314"/>
      <c r="E71" s="314"/>
      <c r="F71" s="313">
        <f t="shared" si="43"/>
        <v>200890.26</v>
      </c>
      <c r="G71" s="313">
        <f t="shared" si="43"/>
        <v>200890.26</v>
      </c>
      <c r="H71" s="313">
        <f t="shared" si="43"/>
        <v>114048.36</v>
      </c>
      <c r="I71" s="316">
        <f t="shared" si="37"/>
        <v>0.56999999999999995</v>
      </c>
      <c r="J71" s="313">
        <f>J77+J83+J89+J101</f>
        <v>114048.36</v>
      </c>
      <c r="K71" s="316">
        <f>J71/G71</f>
        <v>0.56999999999999995</v>
      </c>
      <c r="L71" s="313">
        <f>L77+L83+L89+L101</f>
        <v>179702.76</v>
      </c>
      <c r="M71" s="313">
        <f>M77+M83+M89+M101</f>
        <v>200890.26</v>
      </c>
      <c r="N71" s="313">
        <f t="shared" si="44"/>
        <v>0</v>
      </c>
      <c r="O71" s="147">
        <f t="shared" ref="O71" si="45">G71-L71</f>
        <v>21187.5</v>
      </c>
      <c r="P71" s="434"/>
      <c r="Q71" s="462"/>
    </row>
    <row r="72" spans="1:17" s="312" customFormat="1" x14ac:dyDescent="0.25">
      <c r="A72" s="353"/>
      <c r="B72" s="391" t="s">
        <v>13</v>
      </c>
      <c r="C72" s="314"/>
      <c r="D72" s="314"/>
      <c r="E72" s="314"/>
      <c r="F72" s="313">
        <f t="shared" si="43"/>
        <v>1755.91</v>
      </c>
      <c r="G72" s="313">
        <f t="shared" si="43"/>
        <v>1755.91</v>
      </c>
      <c r="H72" s="313">
        <f t="shared" si="43"/>
        <v>0</v>
      </c>
      <c r="I72" s="316">
        <f t="shared" si="37"/>
        <v>0</v>
      </c>
      <c r="J72" s="313">
        <f>J78+J84+J90+J102</f>
        <v>0</v>
      </c>
      <c r="K72" s="316">
        <f>J72/G72</f>
        <v>0</v>
      </c>
      <c r="L72" s="313">
        <f t="shared" ref="L72:L73" si="46">L78+L84+L90+L102</f>
        <v>1755.91</v>
      </c>
      <c r="M72" s="313">
        <f>M78+M84+M90+M102</f>
        <v>1755.91</v>
      </c>
      <c r="N72" s="313">
        <f t="shared" si="44"/>
        <v>0</v>
      </c>
      <c r="O72" s="65"/>
      <c r="P72" s="434"/>
      <c r="Q72" s="462"/>
    </row>
    <row r="73" spans="1:17" s="312" customFormat="1" collapsed="1" x14ac:dyDescent="0.25">
      <c r="A73" s="353"/>
      <c r="B73" s="391" t="s">
        <v>5</v>
      </c>
      <c r="C73" s="314"/>
      <c r="D73" s="314"/>
      <c r="E73" s="314"/>
      <c r="F73" s="313">
        <f t="shared" si="43"/>
        <v>0</v>
      </c>
      <c r="G73" s="313">
        <f t="shared" si="43"/>
        <v>0</v>
      </c>
      <c r="H73" s="313">
        <f t="shared" si="43"/>
        <v>0</v>
      </c>
      <c r="I73" s="316"/>
      <c r="J73" s="313"/>
      <c r="K73" s="313"/>
      <c r="L73" s="313">
        <f t="shared" si="46"/>
        <v>0</v>
      </c>
      <c r="M73" s="313"/>
      <c r="N73" s="313"/>
      <c r="O73" s="65"/>
      <c r="P73" s="434"/>
      <c r="Q73" s="462"/>
    </row>
    <row r="74" spans="1:17" s="155" customFormat="1" ht="30.75" customHeight="1" x14ac:dyDescent="0.25">
      <c r="A74" s="396" t="s">
        <v>146</v>
      </c>
      <c r="B74" s="397" t="s">
        <v>132</v>
      </c>
      <c r="C74" s="198"/>
      <c r="D74" s="198"/>
      <c r="E74" s="198"/>
      <c r="F74" s="199">
        <f>SUM(F75:F79)</f>
        <v>375116.43</v>
      </c>
      <c r="G74" s="199">
        <f t="shared" ref="G74:H74" si="47">SUM(G75:G79)</f>
        <v>375116.43</v>
      </c>
      <c r="H74" s="199">
        <f t="shared" si="47"/>
        <v>53954.720000000001</v>
      </c>
      <c r="I74" s="398">
        <f t="shared" si="37"/>
        <v>0.14000000000000001</v>
      </c>
      <c r="J74" s="199">
        <f>SUM(J75:J79)</f>
        <v>53954.720000000001</v>
      </c>
      <c r="K74" s="398">
        <f t="shared" ref="K74:K113" si="48">J74/G74</f>
        <v>0.14000000000000001</v>
      </c>
      <c r="L74" s="199">
        <f>SUM(L75:L79)</f>
        <v>353928.93</v>
      </c>
      <c r="M74" s="199">
        <f t="shared" ref="M74" si="49">SUM(M75:M79)</f>
        <v>375116.43</v>
      </c>
      <c r="N74" s="199">
        <f t="shared" ref="N74:N105" si="50">G74-M74</f>
        <v>0</v>
      </c>
      <c r="O74" s="60">
        <f t="shared" ref="O74" si="51">O75+O76+O77+O78+O79</f>
        <v>21187.5</v>
      </c>
      <c r="P74" s="435" t="s">
        <v>219</v>
      </c>
      <c r="Q74" s="462"/>
    </row>
    <row r="75" spans="1:17" s="158" customFormat="1" ht="30.75" customHeight="1" x14ac:dyDescent="0.25">
      <c r="A75" s="396"/>
      <c r="B75" s="399" t="s">
        <v>4</v>
      </c>
      <c r="C75" s="194"/>
      <c r="D75" s="194"/>
      <c r="E75" s="194"/>
      <c r="F75" s="202"/>
      <c r="G75" s="203"/>
      <c r="H75" s="202"/>
      <c r="I75" s="296"/>
      <c r="J75" s="202"/>
      <c r="K75" s="296"/>
      <c r="L75" s="202"/>
      <c r="M75" s="203"/>
      <c r="N75" s="202"/>
      <c r="O75" s="244">
        <f>G75-L75</f>
        <v>0</v>
      </c>
      <c r="P75" s="435"/>
      <c r="Q75" s="462"/>
    </row>
    <row r="76" spans="1:17" s="158" customFormat="1" ht="30.75" customHeight="1" x14ac:dyDescent="0.25">
      <c r="A76" s="396"/>
      <c r="B76" s="399" t="s">
        <v>186</v>
      </c>
      <c r="C76" s="194"/>
      <c r="D76" s="194"/>
      <c r="E76" s="194"/>
      <c r="F76" s="202">
        <v>333853.62</v>
      </c>
      <c r="G76" s="202">
        <v>333853.62</v>
      </c>
      <c r="H76" s="202">
        <v>48019.7</v>
      </c>
      <c r="I76" s="296">
        <f t="shared" si="37"/>
        <v>0.14000000000000001</v>
      </c>
      <c r="J76" s="202">
        <v>48019.7</v>
      </c>
      <c r="K76" s="296">
        <f t="shared" si="48"/>
        <v>0.14000000000000001</v>
      </c>
      <c r="L76" s="202">
        <v>333853.62</v>
      </c>
      <c r="M76" s="202">
        <f>G76</f>
        <v>333853.62</v>
      </c>
      <c r="N76" s="202">
        <f t="shared" si="50"/>
        <v>0</v>
      </c>
      <c r="O76" s="244">
        <f>G76-L76</f>
        <v>0</v>
      </c>
      <c r="P76" s="435"/>
      <c r="Q76" s="462"/>
    </row>
    <row r="77" spans="1:17" s="158" customFormat="1" ht="30.75" customHeight="1" x14ac:dyDescent="0.25">
      <c r="A77" s="396"/>
      <c r="B77" s="399" t="s">
        <v>133</v>
      </c>
      <c r="C77" s="194"/>
      <c r="D77" s="194"/>
      <c r="E77" s="194"/>
      <c r="F77" s="202">
        <v>41262.81</v>
      </c>
      <c r="G77" s="202">
        <v>41262.81</v>
      </c>
      <c r="H77" s="202">
        <f>J77</f>
        <v>5935.02</v>
      </c>
      <c r="I77" s="296">
        <f t="shared" si="37"/>
        <v>0.14000000000000001</v>
      </c>
      <c r="J77" s="202">
        <v>5935.02</v>
      </c>
      <c r="K77" s="296">
        <f t="shared" si="48"/>
        <v>0.14000000000000001</v>
      </c>
      <c r="L77" s="202">
        <v>20075.310000000001</v>
      </c>
      <c r="M77" s="202">
        <f>G77</f>
        <v>41262.81</v>
      </c>
      <c r="N77" s="202">
        <f t="shared" si="50"/>
        <v>0</v>
      </c>
      <c r="O77" s="244">
        <f t="shared" ref="O77" si="52">G77-L77</f>
        <v>21187.5</v>
      </c>
      <c r="P77" s="435"/>
      <c r="Q77" s="462"/>
    </row>
    <row r="78" spans="1:17" s="158" customFormat="1" ht="30.75" customHeight="1" x14ac:dyDescent="0.25">
      <c r="A78" s="396"/>
      <c r="B78" s="399" t="s">
        <v>13</v>
      </c>
      <c r="C78" s="194"/>
      <c r="D78" s="194"/>
      <c r="E78" s="194"/>
      <c r="F78" s="202"/>
      <c r="G78" s="202"/>
      <c r="H78" s="202"/>
      <c r="I78" s="296"/>
      <c r="J78" s="202"/>
      <c r="K78" s="296"/>
      <c r="L78" s="202"/>
      <c r="M78" s="203"/>
      <c r="N78" s="202"/>
      <c r="O78" s="208"/>
      <c r="P78" s="435"/>
      <c r="Q78" s="462"/>
    </row>
    <row r="79" spans="1:17" s="158" customFormat="1" ht="30.75" customHeight="1" collapsed="1" x14ac:dyDescent="0.25">
      <c r="A79" s="396"/>
      <c r="B79" s="399" t="s">
        <v>5</v>
      </c>
      <c r="C79" s="194"/>
      <c r="D79" s="194"/>
      <c r="E79" s="194"/>
      <c r="F79" s="202"/>
      <c r="G79" s="203"/>
      <c r="H79" s="202"/>
      <c r="I79" s="296"/>
      <c r="J79" s="202"/>
      <c r="K79" s="296"/>
      <c r="L79" s="202"/>
      <c r="M79" s="203"/>
      <c r="N79" s="202"/>
      <c r="O79" s="208"/>
      <c r="P79" s="435"/>
      <c r="Q79" s="462"/>
    </row>
    <row r="80" spans="1:17" s="155" customFormat="1" ht="46.5" x14ac:dyDescent="0.25">
      <c r="A80" s="396" t="s">
        <v>147</v>
      </c>
      <c r="B80" s="397" t="s">
        <v>134</v>
      </c>
      <c r="C80" s="198"/>
      <c r="D80" s="198"/>
      <c r="E80" s="198"/>
      <c r="F80" s="199">
        <f t="shared" ref="F80:H80" si="53">SUM(F81:F85)</f>
        <v>189811.47</v>
      </c>
      <c r="G80" s="199">
        <f t="shared" si="53"/>
        <v>189811.47</v>
      </c>
      <c r="H80" s="199">
        <f t="shared" si="53"/>
        <v>42667.99</v>
      </c>
      <c r="I80" s="398">
        <f t="shared" si="37"/>
        <v>0.22</v>
      </c>
      <c r="J80" s="199">
        <f>SUM(J81:J85)</f>
        <v>37412.730000000003</v>
      </c>
      <c r="K80" s="398">
        <f t="shared" si="48"/>
        <v>0.2</v>
      </c>
      <c r="L80" s="199">
        <f>SUM(L81:L85)</f>
        <v>189811.47</v>
      </c>
      <c r="M80" s="199">
        <f>SUM(M81:M85)</f>
        <v>189811.47</v>
      </c>
      <c r="N80" s="199">
        <f t="shared" si="50"/>
        <v>0</v>
      </c>
      <c r="O80" s="60">
        <f t="shared" ref="O80" si="54">O81+O82+O83+O84+O85</f>
        <v>0</v>
      </c>
      <c r="P80" s="435" t="s">
        <v>189</v>
      </c>
      <c r="Q80" s="462"/>
    </row>
    <row r="81" spans="1:17" s="158" customFormat="1" x14ac:dyDescent="0.25">
      <c r="A81" s="396"/>
      <c r="B81" s="399" t="s">
        <v>4</v>
      </c>
      <c r="C81" s="194"/>
      <c r="D81" s="194"/>
      <c r="E81" s="194"/>
      <c r="F81" s="202"/>
      <c r="G81" s="203"/>
      <c r="H81" s="202"/>
      <c r="I81" s="296"/>
      <c r="J81" s="202"/>
      <c r="K81" s="296"/>
      <c r="L81" s="202"/>
      <c r="M81" s="202"/>
      <c r="N81" s="202"/>
      <c r="O81" s="244">
        <f>G81-L81</f>
        <v>0</v>
      </c>
      <c r="P81" s="435"/>
      <c r="Q81" s="462"/>
    </row>
    <row r="82" spans="1:17" s="158" customFormat="1" x14ac:dyDescent="0.25">
      <c r="A82" s="396"/>
      <c r="B82" s="399" t="s">
        <v>186</v>
      </c>
      <c r="C82" s="194"/>
      <c r="D82" s="194"/>
      <c r="E82" s="194"/>
      <c r="F82" s="202">
        <v>152482.23999999999</v>
      </c>
      <c r="G82" s="202">
        <v>152482.23999999999</v>
      </c>
      <c r="H82" s="202">
        <v>36047.089999999997</v>
      </c>
      <c r="I82" s="296">
        <f t="shared" si="37"/>
        <v>0.24</v>
      </c>
      <c r="J82" s="202">
        <v>30791.83</v>
      </c>
      <c r="K82" s="296">
        <f t="shared" si="48"/>
        <v>0.2</v>
      </c>
      <c r="L82" s="202">
        <v>152482.23999999999</v>
      </c>
      <c r="M82" s="202">
        <f>G82</f>
        <v>152482.23999999999</v>
      </c>
      <c r="N82" s="202">
        <f t="shared" si="50"/>
        <v>0</v>
      </c>
      <c r="O82" s="244">
        <f>G82-L82</f>
        <v>0</v>
      </c>
      <c r="P82" s="435"/>
      <c r="Q82" s="462"/>
    </row>
    <row r="83" spans="1:17" s="158" customFormat="1" x14ac:dyDescent="0.25">
      <c r="A83" s="396"/>
      <c r="B83" s="399" t="s">
        <v>133</v>
      </c>
      <c r="C83" s="194"/>
      <c r="D83" s="194"/>
      <c r="E83" s="194"/>
      <c r="F83" s="202">
        <v>37329.230000000003</v>
      </c>
      <c r="G83" s="202">
        <v>37329.230000000003</v>
      </c>
      <c r="H83" s="202">
        <f>J83</f>
        <v>6620.9</v>
      </c>
      <c r="I83" s="296">
        <f t="shared" si="37"/>
        <v>0.18</v>
      </c>
      <c r="J83" s="202">
        <v>6620.9</v>
      </c>
      <c r="K83" s="296">
        <f t="shared" si="48"/>
        <v>0.18</v>
      </c>
      <c r="L83" s="202">
        <v>37329.230000000003</v>
      </c>
      <c r="M83" s="202">
        <f>G83</f>
        <v>37329.230000000003</v>
      </c>
      <c r="N83" s="202">
        <f t="shared" si="50"/>
        <v>0</v>
      </c>
      <c r="O83" s="244">
        <f t="shared" ref="O83" si="55">G83-L83</f>
        <v>0</v>
      </c>
      <c r="P83" s="435"/>
      <c r="Q83" s="462"/>
    </row>
    <row r="84" spans="1:17" s="158" customFormat="1" x14ac:dyDescent="0.25">
      <c r="A84" s="396"/>
      <c r="B84" s="399" t="s">
        <v>13</v>
      </c>
      <c r="C84" s="194"/>
      <c r="D84" s="194"/>
      <c r="E84" s="194"/>
      <c r="F84" s="202"/>
      <c r="G84" s="203"/>
      <c r="H84" s="202"/>
      <c r="I84" s="296"/>
      <c r="J84" s="202"/>
      <c r="K84" s="296"/>
      <c r="L84" s="202"/>
      <c r="M84" s="202"/>
      <c r="N84" s="202"/>
      <c r="O84" s="208"/>
      <c r="P84" s="435"/>
      <c r="Q84" s="462"/>
    </row>
    <row r="85" spans="1:17" s="158" customFormat="1" collapsed="1" x14ac:dyDescent="0.25">
      <c r="A85" s="396"/>
      <c r="B85" s="399" t="s">
        <v>5</v>
      </c>
      <c r="C85" s="194"/>
      <c r="D85" s="194"/>
      <c r="E85" s="194"/>
      <c r="F85" s="202"/>
      <c r="G85" s="203"/>
      <c r="H85" s="202"/>
      <c r="I85" s="296"/>
      <c r="J85" s="202"/>
      <c r="K85" s="296"/>
      <c r="L85" s="202"/>
      <c r="M85" s="202"/>
      <c r="N85" s="202"/>
      <c r="O85" s="208"/>
      <c r="P85" s="435"/>
      <c r="Q85" s="462"/>
    </row>
    <row r="86" spans="1:17" s="307" customFormat="1" ht="69.75" x14ac:dyDescent="0.25">
      <c r="A86" s="354" t="s">
        <v>148</v>
      </c>
      <c r="B86" s="393" t="s">
        <v>135</v>
      </c>
      <c r="C86" s="319"/>
      <c r="D86" s="319"/>
      <c r="E86" s="319"/>
      <c r="F86" s="320">
        <f t="shared" ref="F86:H86" si="56">SUM(F87:F91)</f>
        <v>143570.91</v>
      </c>
      <c r="G86" s="320">
        <f t="shared" si="56"/>
        <v>143570.91</v>
      </c>
      <c r="H86" s="320">
        <f t="shared" si="56"/>
        <v>37789.67</v>
      </c>
      <c r="I86" s="355">
        <f t="shared" si="37"/>
        <v>0.26</v>
      </c>
      <c r="J86" s="320">
        <f>SUM(J87:J91)</f>
        <v>37789.67</v>
      </c>
      <c r="K86" s="355">
        <f t="shared" si="48"/>
        <v>0.26</v>
      </c>
      <c r="L86" s="320">
        <f>SUM(L87:L91)</f>
        <v>143570.91</v>
      </c>
      <c r="M86" s="320">
        <f>SUM(M87:M91)</f>
        <v>143570.91</v>
      </c>
      <c r="N86" s="320">
        <f t="shared" si="50"/>
        <v>0</v>
      </c>
      <c r="O86" s="318">
        <f t="shared" ref="O86" si="57">O87+O88+O89+O90+O91</f>
        <v>0</v>
      </c>
      <c r="P86" s="356"/>
      <c r="Q86" s="462"/>
    </row>
    <row r="87" spans="1:17" s="312" customFormat="1" ht="25.5" x14ac:dyDescent="0.25">
      <c r="A87" s="354"/>
      <c r="B87" s="391" t="s">
        <v>4</v>
      </c>
      <c r="C87" s="314"/>
      <c r="D87" s="314"/>
      <c r="E87" s="314"/>
      <c r="F87" s="313">
        <f>F93</f>
        <v>0</v>
      </c>
      <c r="G87" s="313">
        <f t="shared" ref="G87:H88" si="58">G93</f>
        <v>0</v>
      </c>
      <c r="H87" s="313">
        <f t="shared" si="58"/>
        <v>0</v>
      </c>
      <c r="I87" s="316"/>
      <c r="J87" s="313"/>
      <c r="K87" s="316"/>
      <c r="L87" s="313"/>
      <c r="M87" s="313"/>
      <c r="N87" s="313"/>
      <c r="O87" s="313">
        <f>G87-L87</f>
        <v>0</v>
      </c>
      <c r="P87" s="345"/>
      <c r="Q87" s="462"/>
    </row>
    <row r="88" spans="1:17" s="312" customFormat="1" ht="25.5" x14ac:dyDescent="0.25">
      <c r="A88" s="354"/>
      <c r="B88" s="391" t="s">
        <v>186</v>
      </c>
      <c r="C88" s="314"/>
      <c r="D88" s="314"/>
      <c r="E88" s="314"/>
      <c r="F88" s="313">
        <f>F94</f>
        <v>113452</v>
      </c>
      <c r="G88" s="313">
        <f t="shared" si="58"/>
        <v>113452</v>
      </c>
      <c r="H88" s="313">
        <v>30231.74</v>
      </c>
      <c r="I88" s="315">
        <f t="shared" si="37"/>
        <v>0.26600000000000001</v>
      </c>
      <c r="J88" s="313">
        <v>30231.74</v>
      </c>
      <c r="K88" s="315">
        <f t="shared" si="48"/>
        <v>0.26600000000000001</v>
      </c>
      <c r="L88" s="313">
        <f t="shared" ref="J88:L90" si="59">L94</f>
        <v>113452</v>
      </c>
      <c r="M88" s="313">
        <f t="shared" ref="M88:M90" si="60">M94</f>
        <v>113452</v>
      </c>
      <c r="N88" s="313">
        <f t="shared" si="50"/>
        <v>0</v>
      </c>
      <c r="O88" s="313">
        <f>G88-L88</f>
        <v>0</v>
      </c>
      <c r="P88" s="345"/>
      <c r="Q88" s="462"/>
    </row>
    <row r="89" spans="1:17" s="312" customFormat="1" ht="25.5" x14ac:dyDescent="0.25">
      <c r="A89" s="354"/>
      <c r="B89" s="391" t="s">
        <v>133</v>
      </c>
      <c r="C89" s="314"/>
      <c r="D89" s="314"/>
      <c r="E89" s="314"/>
      <c r="F89" s="313">
        <f t="shared" ref="F89:H91" si="61">F95</f>
        <v>28363</v>
      </c>
      <c r="G89" s="313">
        <f t="shared" si="61"/>
        <v>28363</v>
      </c>
      <c r="H89" s="313">
        <f t="shared" si="61"/>
        <v>7557.93</v>
      </c>
      <c r="I89" s="316">
        <f t="shared" si="37"/>
        <v>0.27</v>
      </c>
      <c r="J89" s="313">
        <f t="shared" si="59"/>
        <v>7557.93</v>
      </c>
      <c r="K89" s="316">
        <f t="shared" si="48"/>
        <v>0.27</v>
      </c>
      <c r="L89" s="313">
        <f t="shared" si="59"/>
        <v>28363</v>
      </c>
      <c r="M89" s="313">
        <f t="shared" si="60"/>
        <v>28363</v>
      </c>
      <c r="N89" s="313">
        <f t="shared" si="50"/>
        <v>0</v>
      </c>
      <c r="O89" s="313">
        <f t="shared" ref="O89:O90" si="62">G89-L89</f>
        <v>0</v>
      </c>
      <c r="P89" s="345"/>
      <c r="Q89" s="462"/>
    </row>
    <row r="90" spans="1:17" s="312" customFormat="1" ht="25.5" x14ac:dyDescent="0.25">
      <c r="A90" s="354"/>
      <c r="B90" s="391" t="s">
        <v>13</v>
      </c>
      <c r="C90" s="314"/>
      <c r="D90" s="314"/>
      <c r="E90" s="314"/>
      <c r="F90" s="313">
        <f t="shared" si="61"/>
        <v>1755.91</v>
      </c>
      <c r="G90" s="313">
        <f t="shared" si="61"/>
        <v>1755.91</v>
      </c>
      <c r="H90" s="313">
        <f t="shared" si="61"/>
        <v>0</v>
      </c>
      <c r="I90" s="316">
        <f t="shared" si="37"/>
        <v>0</v>
      </c>
      <c r="J90" s="313">
        <f t="shared" si="59"/>
        <v>0</v>
      </c>
      <c r="K90" s="316">
        <f t="shared" si="48"/>
        <v>0</v>
      </c>
      <c r="L90" s="313">
        <f t="shared" si="59"/>
        <v>1755.91</v>
      </c>
      <c r="M90" s="313">
        <f t="shared" si="60"/>
        <v>1755.91</v>
      </c>
      <c r="N90" s="313">
        <f t="shared" si="50"/>
        <v>0</v>
      </c>
      <c r="O90" s="313">
        <f t="shared" si="62"/>
        <v>0</v>
      </c>
      <c r="P90" s="345"/>
      <c r="Q90" s="462"/>
    </row>
    <row r="91" spans="1:17" s="312" customFormat="1" collapsed="1" x14ac:dyDescent="0.25">
      <c r="A91" s="354"/>
      <c r="B91" s="391" t="s">
        <v>5</v>
      </c>
      <c r="C91" s="314"/>
      <c r="D91" s="314"/>
      <c r="E91" s="314"/>
      <c r="F91" s="313">
        <f t="shared" si="61"/>
        <v>0</v>
      </c>
      <c r="G91" s="313">
        <f t="shared" si="61"/>
        <v>0</v>
      </c>
      <c r="H91" s="313">
        <f t="shared" si="61"/>
        <v>0</v>
      </c>
      <c r="I91" s="316"/>
      <c r="J91" s="313"/>
      <c r="K91" s="316"/>
      <c r="L91" s="313"/>
      <c r="M91" s="313"/>
      <c r="N91" s="313"/>
      <c r="O91" s="65"/>
      <c r="P91" s="345"/>
      <c r="Q91" s="462"/>
    </row>
    <row r="92" spans="1:17" s="322" customFormat="1" ht="81" customHeight="1" x14ac:dyDescent="0.25">
      <c r="A92" s="354" t="s">
        <v>149</v>
      </c>
      <c r="B92" s="393" t="s">
        <v>136</v>
      </c>
      <c r="C92" s="319"/>
      <c r="D92" s="319"/>
      <c r="E92" s="319"/>
      <c r="F92" s="320">
        <f t="shared" ref="F92:H92" si="63">SUM(F93:F97)</f>
        <v>143570.91</v>
      </c>
      <c r="G92" s="320">
        <f t="shared" si="63"/>
        <v>143570.91</v>
      </c>
      <c r="H92" s="320">
        <f t="shared" si="63"/>
        <v>37789.67</v>
      </c>
      <c r="I92" s="355">
        <f t="shared" si="37"/>
        <v>0.26</v>
      </c>
      <c r="J92" s="320">
        <f>SUM(J93:J97)</f>
        <v>37789.67</v>
      </c>
      <c r="K92" s="355">
        <f t="shared" si="48"/>
        <v>0.26</v>
      </c>
      <c r="L92" s="320">
        <f>SUM(L93:L97)</f>
        <v>143570.91</v>
      </c>
      <c r="M92" s="320">
        <f>SUM(M93:M97)</f>
        <v>143570.91</v>
      </c>
      <c r="N92" s="320">
        <f t="shared" si="50"/>
        <v>0</v>
      </c>
      <c r="O92" s="318">
        <f t="shared" ref="O92" si="64">O93+O94+O95+O96+O97</f>
        <v>0</v>
      </c>
      <c r="P92" s="432" t="s">
        <v>217</v>
      </c>
      <c r="Q92" s="462"/>
    </row>
    <row r="93" spans="1:17" s="312" customFormat="1" ht="25.5" x14ac:dyDescent="0.25">
      <c r="A93" s="354"/>
      <c r="B93" s="391" t="s">
        <v>4</v>
      </c>
      <c r="C93" s="314"/>
      <c r="D93" s="314"/>
      <c r="E93" s="314"/>
      <c r="F93" s="313"/>
      <c r="G93" s="321"/>
      <c r="H93" s="313"/>
      <c r="I93" s="316"/>
      <c r="J93" s="313"/>
      <c r="K93" s="316"/>
      <c r="L93" s="313"/>
      <c r="M93" s="313"/>
      <c r="N93" s="313"/>
      <c r="O93" s="313">
        <f>G93-L93</f>
        <v>0</v>
      </c>
      <c r="P93" s="432"/>
      <c r="Q93" s="462"/>
    </row>
    <row r="94" spans="1:17" s="312" customFormat="1" ht="69.75" x14ac:dyDescent="0.25">
      <c r="A94" s="354"/>
      <c r="B94" s="393" t="s">
        <v>135</v>
      </c>
      <c r="C94" s="314"/>
      <c r="D94" s="314"/>
      <c r="E94" s="314"/>
      <c r="F94" s="313">
        <v>113452</v>
      </c>
      <c r="G94" s="313">
        <v>113452</v>
      </c>
      <c r="H94" s="313">
        <v>30231.74</v>
      </c>
      <c r="I94" s="315">
        <f t="shared" ref="I94:I113" si="65">H94/G94</f>
        <v>0.26600000000000001</v>
      </c>
      <c r="J94" s="313">
        <f>H94</f>
        <v>30231.74</v>
      </c>
      <c r="K94" s="315">
        <f t="shared" si="48"/>
        <v>0.26600000000000001</v>
      </c>
      <c r="L94" s="313">
        <v>113452</v>
      </c>
      <c r="M94" s="313">
        <f>G94</f>
        <v>113452</v>
      </c>
      <c r="N94" s="313">
        <f t="shared" si="50"/>
        <v>0</v>
      </c>
      <c r="O94" s="313">
        <f>G94-L94</f>
        <v>0</v>
      </c>
      <c r="P94" s="432"/>
      <c r="Q94" s="462"/>
    </row>
    <row r="95" spans="1:17" s="312" customFormat="1" ht="25.5" x14ac:dyDescent="0.25">
      <c r="A95" s="354"/>
      <c r="B95" s="391" t="s">
        <v>133</v>
      </c>
      <c r="C95" s="314"/>
      <c r="D95" s="314"/>
      <c r="E95" s="314"/>
      <c r="F95" s="313">
        <v>28363</v>
      </c>
      <c r="G95" s="313">
        <v>28363</v>
      </c>
      <c r="H95" s="313">
        <v>7557.93</v>
      </c>
      <c r="I95" s="316">
        <f t="shared" si="65"/>
        <v>0.27</v>
      </c>
      <c r="J95" s="313">
        <v>7557.93</v>
      </c>
      <c r="K95" s="316">
        <f t="shared" si="48"/>
        <v>0.27</v>
      </c>
      <c r="L95" s="313">
        <v>28363</v>
      </c>
      <c r="M95" s="313">
        <f>G95</f>
        <v>28363</v>
      </c>
      <c r="N95" s="313">
        <f t="shared" si="50"/>
        <v>0</v>
      </c>
      <c r="O95" s="313">
        <f t="shared" ref="O95" si="66">G95-L95</f>
        <v>0</v>
      </c>
      <c r="P95" s="432"/>
      <c r="Q95" s="462"/>
    </row>
    <row r="96" spans="1:17" s="312" customFormat="1" x14ac:dyDescent="0.25">
      <c r="A96" s="354"/>
      <c r="B96" s="391" t="s">
        <v>13</v>
      </c>
      <c r="C96" s="314"/>
      <c r="D96" s="314"/>
      <c r="E96" s="314"/>
      <c r="F96" s="313">
        <v>1755.91</v>
      </c>
      <c r="G96" s="313">
        <v>1755.91</v>
      </c>
      <c r="H96" s="313"/>
      <c r="I96" s="316">
        <f t="shared" si="65"/>
        <v>0</v>
      </c>
      <c r="J96" s="313"/>
      <c r="K96" s="316">
        <f t="shared" si="48"/>
        <v>0</v>
      </c>
      <c r="L96" s="313">
        <v>1755.91</v>
      </c>
      <c r="M96" s="313">
        <f>G96</f>
        <v>1755.91</v>
      </c>
      <c r="N96" s="313">
        <f t="shared" si="50"/>
        <v>0</v>
      </c>
      <c r="O96" s="65"/>
      <c r="P96" s="432"/>
      <c r="Q96" s="462"/>
    </row>
    <row r="97" spans="1:17" s="312" customFormat="1" collapsed="1" x14ac:dyDescent="0.25">
      <c r="A97" s="354"/>
      <c r="B97" s="391" t="s">
        <v>5</v>
      </c>
      <c r="C97" s="314"/>
      <c r="D97" s="314"/>
      <c r="E97" s="314"/>
      <c r="F97" s="313"/>
      <c r="G97" s="321"/>
      <c r="H97" s="313"/>
      <c r="I97" s="316"/>
      <c r="J97" s="313"/>
      <c r="K97" s="316"/>
      <c r="L97" s="316"/>
      <c r="M97" s="313"/>
      <c r="N97" s="313"/>
      <c r="O97" s="65"/>
      <c r="P97" s="432"/>
      <c r="Q97" s="462"/>
    </row>
    <row r="98" spans="1:17" s="312" customFormat="1" ht="63" customHeight="1" x14ac:dyDescent="0.25">
      <c r="A98" s="354" t="s">
        <v>150</v>
      </c>
      <c r="B98" s="393" t="s">
        <v>137</v>
      </c>
      <c r="C98" s="319"/>
      <c r="D98" s="319"/>
      <c r="E98" s="319"/>
      <c r="F98" s="320">
        <f>SUM(F99:F103)</f>
        <v>923935.22</v>
      </c>
      <c r="G98" s="320">
        <f>SUM(G99:G103)</f>
        <v>923935.22</v>
      </c>
      <c r="H98" s="320">
        <f>SUM(H99:H103)</f>
        <v>923934.51</v>
      </c>
      <c r="I98" s="355">
        <f t="shared" si="65"/>
        <v>1</v>
      </c>
      <c r="J98" s="320">
        <f>SUM(J99:J103)</f>
        <v>923934.51</v>
      </c>
      <c r="K98" s="355">
        <f t="shared" si="48"/>
        <v>1</v>
      </c>
      <c r="L98" s="320">
        <f>SUM(L99:L103)</f>
        <v>923935.22</v>
      </c>
      <c r="M98" s="320">
        <f>SUM(M99:M103)</f>
        <v>923935.22</v>
      </c>
      <c r="N98" s="320">
        <f t="shared" si="50"/>
        <v>0</v>
      </c>
      <c r="O98" s="318">
        <f t="shared" ref="O98" si="67">O99+O100+O101+O102+O103</f>
        <v>0</v>
      </c>
      <c r="P98" s="432" t="s">
        <v>184</v>
      </c>
      <c r="Q98" s="462"/>
    </row>
    <row r="99" spans="1:17" s="312" customFormat="1" ht="36" customHeight="1" x14ac:dyDescent="0.25">
      <c r="A99" s="354"/>
      <c r="B99" s="391" t="s">
        <v>4</v>
      </c>
      <c r="C99" s="314"/>
      <c r="D99" s="314"/>
      <c r="E99" s="314"/>
      <c r="F99" s="313"/>
      <c r="G99" s="313"/>
      <c r="H99" s="313"/>
      <c r="I99" s="316"/>
      <c r="J99" s="313"/>
      <c r="K99" s="316"/>
      <c r="L99" s="313"/>
      <c r="M99" s="313"/>
      <c r="N99" s="313"/>
      <c r="O99" s="313">
        <f>G99-L99</f>
        <v>0</v>
      </c>
      <c r="P99" s="432"/>
      <c r="Q99" s="462"/>
    </row>
    <row r="100" spans="1:17" s="312" customFormat="1" ht="36" customHeight="1" x14ac:dyDescent="0.25">
      <c r="A100" s="354"/>
      <c r="B100" s="391" t="s">
        <v>186</v>
      </c>
      <c r="C100" s="314"/>
      <c r="D100" s="314"/>
      <c r="E100" s="314"/>
      <c r="F100" s="313">
        <v>830000</v>
      </c>
      <c r="G100" s="313">
        <v>830000</v>
      </c>
      <c r="H100" s="313">
        <f>J100</f>
        <v>830000</v>
      </c>
      <c r="I100" s="316">
        <f t="shared" si="65"/>
        <v>1</v>
      </c>
      <c r="J100" s="313">
        <v>830000</v>
      </c>
      <c r="K100" s="316">
        <f t="shared" si="48"/>
        <v>1</v>
      </c>
      <c r="L100" s="313">
        <v>830000</v>
      </c>
      <c r="M100" s="313">
        <f>G100</f>
        <v>830000</v>
      </c>
      <c r="N100" s="313">
        <f t="shared" si="50"/>
        <v>0</v>
      </c>
      <c r="O100" s="313">
        <f>G100-L100</f>
        <v>0</v>
      </c>
      <c r="P100" s="432"/>
      <c r="Q100" s="462"/>
    </row>
    <row r="101" spans="1:17" s="312" customFormat="1" ht="27.75" customHeight="1" x14ac:dyDescent="0.25">
      <c r="A101" s="354"/>
      <c r="B101" s="391" t="s">
        <v>133</v>
      </c>
      <c r="C101" s="314"/>
      <c r="D101" s="314"/>
      <c r="E101" s="314"/>
      <c r="F101" s="313">
        <v>93935.22</v>
      </c>
      <c r="G101" s="313">
        <v>93935.22</v>
      </c>
      <c r="H101" s="313">
        <f>J101</f>
        <v>93934.51</v>
      </c>
      <c r="I101" s="316">
        <f t="shared" si="65"/>
        <v>1</v>
      </c>
      <c r="J101" s="313">
        <v>93934.51</v>
      </c>
      <c r="K101" s="316">
        <f t="shared" si="48"/>
        <v>1</v>
      </c>
      <c r="L101" s="313">
        <v>93935.22</v>
      </c>
      <c r="M101" s="313">
        <f>G101</f>
        <v>93935.22</v>
      </c>
      <c r="N101" s="313">
        <f t="shared" si="50"/>
        <v>0</v>
      </c>
      <c r="O101" s="313">
        <f t="shared" ref="O101" si="68">G101-L101</f>
        <v>0</v>
      </c>
      <c r="P101" s="432"/>
      <c r="Q101" s="462"/>
    </row>
    <row r="102" spans="1:17" s="312" customFormat="1" ht="36" customHeight="1" x14ac:dyDescent="0.25">
      <c r="A102" s="354"/>
      <c r="B102" s="391" t="s">
        <v>13</v>
      </c>
      <c r="C102" s="314"/>
      <c r="D102" s="314"/>
      <c r="E102" s="314"/>
      <c r="F102" s="313"/>
      <c r="G102" s="313"/>
      <c r="H102" s="313"/>
      <c r="I102" s="316"/>
      <c r="J102" s="313"/>
      <c r="K102" s="316"/>
      <c r="L102" s="313"/>
      <c r="M102" s="313"/>
      <c r="N102" s="313"/>
      <c r="O102" s="65"/>
      <c r="P102" s="432"/>
      <c r="Q102" s="462"/>
    </row>
    <row r="103" spans="1:17" s="312" customFormat="1" ht="36" customHeight="1" x14ac:dyDescent="0.25">
      <c r="A103" s="354"/>
      <c r="B103" s="391" t="s">
        <v>5</v>
      </c>
      <c r="C103" s="314"/>
      <c r="D103" s="314"/>
      <c r="E103" s="314"/>
      <c r="F103" s="313"/>
      <c r="G103" s="313"/>
      <c r="H103" s="313"/>
      <c r="I103" s="316"/>
      <c r="J103" s="313"/>
      <c r="K103" s="316"/>
      <c r="L103" s="313"/>
      <c r="M103" s="313"/>
      <c r="N103" s="313"/>
      <c r="O103" s="65"/>
      <c r="P103" s="432"/>
      <c r="Q103" s="462"/>
    </row>
    <row r="104" spans="1:17" s="307" customFormat="1" ht="98.25" customHeight="1" x14ac:dyDescent="0.25">
      <c r="A104" s="350" t="s">
        <v>151</v>
      </c>
      <c r="B104" s="392" t="s">
        <v>180</v>
      </c>
      <c r="C104" s="317"/>
      <c r="D104" s="317"/>
      <c r="E104" s="317"/>
      <c r="F104" s="318">
        <f t="shared" ref="F104:H104" si="69">SUM(F105:F109)</f>
        <v>25102.98</v>
      </c>
      <c r="G104" s="318">
        <f t="shared" si="69"/>
        <v>26622.33</v>
      </c>
      <c r="H104" s="318">
        <f t="shared" si="69"/>
        <v>23800.9</v>
      </c>
      <c r="I104" s="352">
        <f t="shared" si="65"/>
        <v>0.89400000000000002</v>
      </c>
      <c r="J104" s="318">
        <f>SUM(J105:J109)</f>
        <v>8717.39</v>
      </c>
      <c r="K104" s="352">
        <f t="shared" si="48"/>
        <v>0.32700000000000001</v>
      </c>
      <c r="L104" s="318">
        <f>SUM(L105:L109)</f>
        <v>24028.080000000002</v>
      </c>
      <c r="M104" s="318">
        <f t="shared" ref="M104" si="70">SUM(M105:M109)</f>
        <v>26622.33</v>
      </c>
      <c r="N104" s="323">
        <f t="shared" si="50"/>
        <v>0</v>
      </c>
      <c r="O104" s="318">
        <f t="shared" ref="O104" si="71">O105+O106+O107+O108+O109</f>
        <v>2594.25</v>
      </c>
      <c r="P104" s="357"/>
      <c r="Q104" s="462"/>
    </row>
    <row r="105" spans="1:17" s="312" customFormat="1" ht="25.5" x14ac:dyDescent="0.25">
      <c r="A105" s="353"/>
      <c r="B105" s="391" t="s">
        <v>4</v>
      </c>
      <c r="C105" s="314"/>
      <c r="D105" s="314"/>
      <c r="E105" s="314"/>
      <c r="F105" s="313">
        <f>F129+F111+F117+F123+F135</f>
        <v>17057.03</v>
      </c>
      <c r="G105" s="313">
        <f t="shared" ref="G105:H105" si="72">G129+G111+G117+G123+G135</f>
        <v>18576.38</v>
      </c>
      <c r="H105" s="313">
        <f t="shared" si="72"/>
        <v>16138.28</v>
      </c>
      <c r="I105" s="316">
        <f t="shared" si="65"/>
        <v>0.87</v>
      </c>
      <c r="J105" s="313">
        <f t="shared" ref="J105:J107" si="73">J129+J111+J117+J123+J135</f>
        <v>6239.44</v>
      </c>
      <c r="K105" s="316">
        <f t="shared" si="48"/>
        <v>0.34</v>
      </c>
      <c r="L105" s="313">
        <f>L111+L117+L123+L129+L135</f>
        <v>16138.28</v>
      </c>
      <c r="M105" s="313">
        <f t="shared" ref="M105:M107" si="74">M129+M111+M117+M123+M135</f>
        <v>18576.38</v>
      </c>
      <c r="N105" s="313">
        <f t="shared" si="50"/>
        <v>0</v>
      </c>
      <c r="O105" s="313">
        <f>G105-L105</f>
        <v>2438.1</v>
      </c>
      <c r="P105" s="345"/>
      <c r="Q105" s="462"/>
    </row>
    <row r="106" spans="1:17" s="312" customFormat="1" ht="25.5" x14ac:dyDescent="0.25">
      <c r="A106" s="353"/>
      <c r="B106" s="391" t="s">
        <v>130</v>
      </c>
      <c r="C106" s="314"/>
      <c r="D106" s="314"/>
      <c r="E106" s="314"/>
      <c r="F106" s="313">
        <f t="shared" ref="F106:H109" si="75">F130+F112+F118+F124+F136</f>
        <v>7592.45</v>
      </c>
      <c r="G106" s="313">
        <f t="shared" si="75"/>
        <v>7592.45</v>
      </c>
      <c r="H106" s="313">
        <f t="shared" si="75"/>
        <v>7592.45</v>
      </c>
      <c r="I106" s="316">
        <f t="shared" si="65"/>
        <v>1</v>
      </c>
      <c r="J106" s="313">
        <f t="shared" si="73"/>
        <v>2407.7800000000002</v>
      </c>
      <c r="K106" s="316">
        <f t="shared" si="48"/>
        <v>0.32</v>
      </c>
      <c r="L106" s="313">
        <f>L112+L118+L124+L130+L136</f>
        <v>7436.3</v>
      </c>
      <c r="M106" s="313">
        <f t="shared" si="74"/>
        <v>7592.45</v>
      </c>
      <c r="N106" s="313">
        <f t="shared" ref="N106:N135" si="76">G106-M106</f>
        <v>0</v>
      </c>
      <c r="O106" s="313">
        <f>G106-L106</f>
        <v>156.15</v>
      </c>
      <c r="P106" s="345"/>
      <c r="Q106" s="462"/>
    </row>
    <row r="107" spans="1:17" s="312" customFormat="1" ht="25.5" x14ac:dyDescent="0.25">
      <c r="A107" s="353"/>
      <c r="B107" s="391" t="s">
        <v>133</v>
      </c>
      <c r="C107" s="314"/>
      <c r="D107" s="314"/>
      <c r="E107" s="314"/>
      <c r="F107" s="313">
        <f t="shared" si="75"/>
        <v>453.5</v>
      </c>
      <c r="G107" s="313">
        <f t="shared" si="75"/>
        <v>453.5</v>
      </c>
      <c r="H107" s="313">
        <f t="shared" si="75"/>
        <v>70.17</v>
      </c>
      <c r="I107" s="316">
        <f t="shared" si="65"/>
        <v>0.15</v>
      </c>
      <c r="J107" s="313">
        <f t="shared" si="73"/>
        <v>70.17</v>
      </c>
      <c r="K107" s="316">
        <f t="shared" si="48"/>
        <v>0.15</v>
      </c>
      <c r="L107" s="313">
        <f>L113+L119+L125+L131+L137</f>
        <v>453.5</v>
      </c>
      <c r="M107" s="313">
        <f t="shared" si="74"/>
        <v>453.5</v>
      </c>
      <c r="N107" s="313">
        <f t="shared" si="76"/>
        <v>0</v>
      </c>
      <c r="O107" s="313">
        <f t="shared" ref="O107" si="77">G107-L107</f>
        <v>0</v>
      </c>
      <c r="P107" s="345"/>
      <c r="Q107" s="462"/>
    </row>
    <row r="108" spans="1:17" s="312" customFormat="1" x14ac:dyDescent="0.25">
      <c r="A108" s="353"/>
      <c r="B108" s="391" t="s">
        <v>13</v>
      </c>
      <c r="C108" s="314"/>
      <c r="D108" s="314"/>
      <c r="E108" s="314"/>
      <c r="F108" s="313">
        <f t="shared" si="75"/>
        <v>0</v>
      </c>
      <c r="G108" s="313">
        <f t="shared" si="75"/>
        <v>0</v>
      </c>
      <c r="H108" s="313">
        <f t="shared" si="75"/>
        <v>0</v>
      </c>
      <c r="I108" s="316"/>
      <c r="J108" s="313"/>
      <c r="K108" s="316"/>
      <c r="L108" s="313"/>
      <c r="M108" s="313"/>
      <c r="N108" s="313"/>
      <c r="O108" s="65"/>
      <c r="P108" s="345"/>
      <c r="Q108" s="462"/>
    </row>
    <row r="109" spans="1:17" s="312" customFormat="1" ht="52.5" customHeight="1" collapsed="1" x14ac:dyDescent="0.25">
      <c r="A109" s="353"/>
      <c r="B109" s="391" t="s">
        <v>5</v>
      </c>
      <c r="C109" s="314"/>
      <c r="D109" s="314"/>
      <c r="E109" s="314"/>
      <c r="F109" s="313">
        <f t="shared" si="75"/>
        <v>0</v>
      </c>
      <c r="G109" s="313">
        <f t="shared" si="75"/>
        <v>0</v>
      </c>
      <c r="H109" s="313">
        <f t="shared" si="75"/>
        <v>0</v>
      </c>
      <c r="I109" s="316"/>
      <c r="J109" s="313"/>
      <c r="K109" s="316"/>
      <c r="L109" s="313"/>
      <c r="M109" s="313"/>
      <c r="N109" s="313"/>
      <c r="O109" s="65"/>
      <c r="P109" s="345"/>
      <c r="Q109" s="462"/>
    </row>
    <row r="110" spans="1:17" s="324" customFormat="1" ht="75.75" customHeight="1" x14ac:dyDescent="0.25">
      <c r="A110" s="354" t="s">
        <v>152</v>
      </c>
      <c r="B110" s="393" t="s">
        <v>139</v>
      </c>
      <c r="C110" s="319"/>
      <c r="D110" s="319"/>
      <c r="E110" s="319"/>
      <c r="F110" s="320">
        <f t="shared" ref="F110:H110" si="78">SUM(F111:F115)</f>
        <v>7596.36</v>
      </c>
      <c r="G110" s="320">
        <f t="shared" si="78"/>
        <v>7596.36</v>
      </c>
      <c r="H110" s="320">
        <f t="shared" si="78"/>
        <v>7213.03</v>
      </c>
      <c r="I110" s="355">
        <f>H110/G110</f>
        <v>0.95</v>
      </c>
      <c r="J110" s="320">
        <f>SUM(J111:J115)</f>
        <v>1403.44</v>
      </c>
      <c r="K110" s="355">
        <f t="shared" si="48"/>
        <v>0.18</v>
      </c>
      <c r="L110" s="320">
        <f>L111+L112+L113</f>
        <v>7596.36</v>
      </c>
      <c r="M110" s="355">
        <f>M111+M112+M113</f>
        <v>7596.36</v>
      </c>
      <c r="N110" s="355">
        <f>N111+N112+N113</f>
        <v>0</v>
      </c>
      <c r="O110" s="61">
        <f t="shared" ref="O110" si="79">O111+O112+O113+O114+O115</f>
        <v>0</v>
      </c>
      <c r="P110" s="433" t="s">
        <v>208</v>
      </c>
      <c r="Q110" s="462"/>
    </row>
    <row r="111" spans="1:17" s="325" customFormat="1" ht="39.75" customHeight="1" x14ac:dyDescent="0.25">
      <c r="A111" s="354"/>
      <c r="B111" s="391" t="s">
        <v>188</v>
      </c>
      <c r="C111" s="314"/>
      <c r="D111" s="314"/>
      <c r="E111" s="314"/>
      <c r="F111" s="313">
        <v>944.84</v>
      </c>
      <c r="G111" s="313">
        <v>944.84</v>
      </c>
      <c r="H111" s="202">
        <v>944.84</v>
      </c>
      <c r="I111" s="316">
        <f t="shared" si="65"/>
        <v>1</v>
      </c>
      <c r="J111" s="313">
        <v>162.07</v>
      </c>
      <c r="K111" s="316">
        <f t="shared" si="48"/>
        <v>0.17</v>
      </c>
      <c r="L111" s="358">
        <v>944.84</v>
      </c>
      <c r="M111" s="313">
        <f>G111</f>
        <v>944.84</v>
      </c>
      <c r="N111" s="313">
        <f t="shared" si="76"/>
        <v>0</v>
      </c>
      <c r="O111" s="147">
        <f>G111-L111</f>
        <v>0</v>
      </c>
      <c r="P111" s="433"/>
      <c r="Q111" s="462"/>
    </row>
    <row r="112" spans="1:17" s="325" customFormat="1" ht="39.75" customHeight="1" x14ac:dyDescent="0.25">
      <c r="A112" s="354"/>
      <c r="B112" s="391" t="s">
        <v>186</v>
      </c>
      <c r="C112" s="314"/>
      <c r="D112" s="314"/>
      <c r="E112" s="314"/>
      <c r="F112" s="313">
        <v>6198.02</v>
      </c>
      <c r="G112" s="313">
        <v>6198.02</v>
      </c>
      <c r="H112" s="202">
        <v>6198.02</v>
      </c>
      <c r="I112" s="316">
        <f t="shared" si="65"/>
        <v>1</v>
      </c>
      <c r="J112" s="313">
        <v>1171.2</v>
      </c>
      <c r="K112" s="316">
        <f t="shared" si="48"/>
        <v>0.19</v>
      </c>
      <c r="L112" s="358">
        <v>6198.02</v>
      </c>
      <c r="M112" s="313">
        <f>G112</f>
        <v>6198.02</v>
      </c>
      <c r="N112" s="313">
        <f t="shared" si="76"/>
        <v>0</v>
      </c>
      <c r="O112" s="147">
        <f>G112-L112</f>
        <v>0</v>
      </c>
      <c r="P112" s="433"/>
      <c r="Q112" s="462"/>
    </row>
    <row r="113" spans="1:17" s="325" customFormat="1" ht="39.75" customHeight="1" x14ac:dyDescent="0.25">
      <c r="A113" s="354"/>
      <c r="B113" s="391" t="s">
        <v>133</v>
      </c>
      <c r="C113" s="314"/>
      <c r="D113" s="314"/>
      <c r="E113" s="314"/>
      <c r="F113" s="313">
        <v>453.5</v>
      </c>
      <c r="G113" s="313">
        <v>453.5</v>
      </c>
      <c r="H113" s="202">
        <f>J113</f>
        <v>70.17</v>
      </c>
      <c r="I113" s="316">
        <f t="shared" si="65"/>
        <v>0.15</v>
      </c>
      <c r="J113" s="313">
        <v>70.17</v>
      </c>
      <c r="K113" s="316">
        <f t="shared" si="48"/>
        <v>0.15</v>
      </c>
      <c r="L113" s="358">
        <v>453.5</v>
      </c>
      <c r="M113" s="313">
        <f>G113</f>
        <v>453.5</v>
      </c>
      <c r="N113" s="313">
        <f t="shared" si="76"/>
        <v>0</v>
      </c>
      <c r="O113" s="147">
        <f>G113-L113</f>
        <v>0</v>
      </c>
      <c r="P113" s="433"/>
      <c r="Q113" s="462"/>
    </row>
    <row r="114" spans="1:17" s="325" customFormat="1" ht="39.75" customHeight="1" x14ac:dyDescent="0.25">
      <c r="A114" s="354"/>
      <c r="B114" s="391" t="s">
        <v>13</v>
      </c>
      <c r="C114" s="314"/>
      <c r="D114" s="314"/>
      <c r="E114" s="314"/>
      <c r="F114" s="313"/>
      <c r="G114" s="321"/>
      <c r="H114" s="313"/>
      <c r="I114" s="316"/>
      <c r="J114" s="313"/>
      <c r="K114" s="316"/>
      <c r="L114" s="316"/>
      <c r="M114" s="313"/>
      <c r="N114" s="313">
        <f t="shared" si="76"/>
        <v>0</v>
      </c>
      <c r="O114" s="65"/>
      <c r="P114" s="433"/>
      <c r="Q114" s="462"/>
    </row>
    <row r="115" spans="1:17" s="325" customFormat="1" ht="39.75" customHeight="1" collapsed="1" x14ac:dyDescent="0.25">
      <c r="A115" s="354"/>
      <c r="B115" s="391" t="s">
        <v>5</v>
      </c>
      <c r="C115" s="314"/>
      <c r="D115" s="314"/>
      <c r="E115" s="314"/>
      <c r="F115" s="313"/>
      <c r="G115" s="321"/>
      <c r="H115" s="313"/>
      <c r="I115" s="316"/>
      <c r="J115" s="313"/>
      <c r="K115" s="316"/>
      <c r="L115" s="316"/>
      <c r="M115" s="313"/>
      <c r="N115" s="313">
        <f t="shared" si="76"/>
        <v>0</v>
      </c>
      <c r="O115" s="65"/>
      <c r="P115" s="433"/>
      <c r="Q115" s="462"/>
    </row>
    <row r="116" spans="1:17" s="324" customFormat="1" ht="177.75" customHeight="1" x14ac:dyDescent="0.25">
      <c r="A116" s="359" t="s">
        <v>153</v>
      </c>
      <c r="B116" s="394" t="s">
        <v>140</v>
      </c>
      <c r="C116" s="326"/>
      <c r="D116" s="326"/>
      <c r="E116" s="326"/>
      <c r="F116" s="327">
        <f t="shared" ref="F116:H116" si="80">SUM(F117:F121)</f>
        <v>1.7</v>
      </c>
      <c r="G116" s="327">
        <f t="shared" si="80"/>
        <v>1.7</v>
      </c>
      <c r="H116" s="327">
        <f t="shared" si="80"/>
        <v>1.7</v>
      </c>
      <c r="I116" s="360">
        <f t="shared" ref="I116:I140" si="81">H116/G116</f>
        <v>1</v>
      </c>
      <c r="J116" s="327">
        <f>SUM(J117:J121)</f>
        <v>0</v>
      </c>
      <c r="K116" s="361">
        <f t="shared" ref="K116:K140" si="82">J116/G116</f>
        <v>0</v>
      </c>
      <c r="L116" s="362">
        <f>L118</f>
        <v>1.7</v>
      </c>
      <c r="M116" s="327">
        <f>SUM(M117:M121)</f>
        <v>1.7</v>
      </c>
      <c r="N116" s="327">
        <f t="shared" si="76"/>
        <v>0</v>
      </c>
      <c r="O116" s="61">
        <f t="shared" ref="O116" si="83">O117+O118+O119+O120+O121</f>
        <v>0</v>
      </c>
      <c r="P116" s="433" t="s">
        <v>190</v>
      </c>
      <c r="Q116" s="462"/>
    </row>
    <row r="117" spans="1:17" s="325" customFormat="1" x14ac:dyDescent="0.25">
      <c r="A117" s="359"/>
      <c r="B117" s="395" t="s">
        <v>4</v>
      </c>
      <c r="C117" s="364"/>
      <c r="D117" s="364"/>
      <c r="E117" s="364"/>
      <c r="F117" s="328"/>
      <c r="G117" s="328"/>
      <c r="H117" s="328"/>
      <c r="I117" s="363"/>
      <c r="J117" s="328"/>
      <c r="K117" s="363"/>
      <c r="L117" s="363"/>
      <c r="M117" s="328"/>
      <c r="N117" s="328"/>
      <c r="O117" s="147">
        <f>G117-L117</f>
        <v>0</v>
      </c>
      <c r="P117" s="433"/>
      <c r="Q117" s="462"/>
    </row>
    <row r="118" spans="1:17" s="325" customFormat="1" x14ac:dyDescent="0.25">
      <c r="A118" s="359"/>
      <c r="B118" s="395" t="s">
        <v>130</v>
      </c>
      <c r="C118" s="364"/>
      <c r="D118" s="364"/>
      <c r="E118" s="364"/>
      <c r="F118" s="328">
        <v>1.7</v>
      </c>
      <c r="G118" s="328">
        <v>1.7</v>
      </c>
      <c r="H118" s="218">
        <v>1.7</v>
      </c>
      <c r="I118" s="363">
        <f t="shared" si="81"/>
        <v>1</v>
      </c>
      <c r="J118" s="328"/>
      <c r="K118" s="365">
        <f t="shared" si="82"/>
        <v>0</v>
      </c>
      <c r="L118" s="362">
        <v>1.7</v>
      </c>
      <c r="M118" s="328">
        <f>G118</f>
        <v>1.7</v>
      </c>
      <c r="N118" s="328">
        <f t="shared" si="76"/>
        <v>0</v>
      </c>
      <c r="O118" s="147">
        <f>G118-L118</f>
        <v>0</v>
      </c>
      <c r="P118" s="433"/>
      <c r="Q118" s="462"/>
    </row>
    <row r="119" spans="1:17" s="325" customFormat="1" x14ac:dyDescent="0.25">
      <c r="A119" s="359"/>
      <c r="B119" s="395" t="s">
        <v>133</v>
      </c>
      <c r="C119" s="364"/>
      <c r="D119" s="364"/>
      <c r="E119" s="364"/>
      <c r="F119" s="328"/>
      <c r="G119" s="328"/>
      <c r="H119" s="328"/>
      <c r="I119" s="363"/>
      <c r="J119" s="328"/>
      <c r="K119" s="363"/>
      <c r="L119" s="363"/>
      <c r="M119" s="328"/>
      <c r="N119" s="328"/>
      <c r="O119" s="147">
        <f t="shared" ref="O119" si="84">G119-L119</f>
        <v>0</v>
      </c>
      <c r="P119" s="433"/>
      <c r="Q119" s="462"/>
    </row>
    <row r="120" spans="1:17" s="325" customFormat="1" x14ac:dyDescent="0.25">
      <c r="A120" s="359"/>
      <c r="B120" s="395" t="s">
        <v>13</v>
      </c>
      <c r="C120" s="364"/>
      <c r="D120" s="364"/>
      <c r="E120" s="364"/>
      <c r="F120" s="328"/>
      <c r="G120" s="328"/>
      <c r="H120" s="328"/>
      <c r="I120" s="363"/>
      <c r="J120" s="328"/>
      <c r="K120" s="363"/>
      <c r="L120" s="363"/>
      <c r="M120" s="328"/>
      <c r="N120" s="328"/>
      <c r="O120" s="65"/>
      <c r="P120" s="433"/>
      <c r="Q120" s="462"/>
    </row>
    <row r="121" spans="1:17" s="325" customFormat="1" collapsed="1" x14ac:dyDescent="0.25">
      <c r="A121" s="359"/>
      <c r="B121" s="395" t="s">
        <v>5</v>
      </c>
      <c r="C121" s="364"/>
      <c r="D121" s="364"/>
      <c r="E121" s="364"/>
      <c r="F121" s="328"/>
      <c r="G121" s="328"/>
      <c r="H121" s="328"/>
      <c r="I121" s="363"/>
      <c r="J121" s="328"/>
      <c r="K121" s="363"/>
      <c r="L121" s="363"/>
      <c r="M121" s="328"/>
      <c r="N121" s="328"/>
      <c r="O121" s="65"/>
      <c r="P121" s="433"/>
      <c r="Q121" s="462"/>
    </row>
    <row r="122" spans="1:17" s="329" customFormat="1" ht="118.5" customHeight="1" outlineLevel="1" x14ac:dyDescent="0.25">
      <c r="A122" s="359" t="s">
        <v>154</v>
      </c>
      <c r="B122" s="394" t="s">
        <v>141</v>
      </c>
      <c r="C122" s="326"/>
      <c r="D122" s="326"/>
      <c r="E122" s="326"/>
      <c r="F122" s="327">
        <f t="shared" ref="F122:H122" si="85">SUM(F123:F127)</f>
        <v>9116.06</v>
      </c>
      <c r="G122" s="327">
        <f t="shared" si="85"/>
        <v>10635.41</v>
      </c>
      <c r="H122" s="327">
        <f t="shared" si="85"/>
        <v>10635.41</v>
      </c>
      <c r="I122" s="360">
        <f t="shared" si="81"/>
        <v>1</v>
      </c>
      <c r="J122" s="327">
        <f>SUM(J123:J127)</f>
        <v>1519.34</v>
      </c>
      <c r="K122" s="360">
        <f t="shared" si="82"/>
        <v>0.14000000000000001</v>
      </c>
      <c r="L122" s="328">
        <f>L123</f>
        <v>10635.41</v>
      </c>
      <c r="M122" s="327">
        <f>SUM(M123:M127)</f>
        <v>10635.41</v>
      </c>
      <c r="N122" s="327">
        <f t="shared" si="76"/>
        <v>0</v>
      </c>
      <c r="O122" s="61">
        <f t="shared" ref="O122" si="86">O123+O124+O125+O126+O127</f>
        <v>0</v>
      </c>
      <c r="P122" s="433" t="s">
        <v>211</v>
      </c>
      <c r="Q122" s="462"/>
    </row>
    <row r="123" spans="1:17" s="325" customFormat="1" outlineLevel="1" x14ac:dyDescent="0.25">
      <c r="A123" s="359"/>
      <c r="B123" s="395" t="s">
        <v>4</v>
      </c>
      <c r="C123" s="364"/>
      <c r="D123" s="364"/>
      <c r="E123" s="364"/>
      <c r="F123" s="328">
        <v>9116.06</v>
      </c>
      <c r="G123" s="328">
        <v>10635.41</v>
      </c>
      <c r="H123" s="218">
        <v>10635.41</v>
      </c>
      <c r="I123" s="363">
        <f t="shared" si="81"/>
        <v>1</v>
      </c>
      <c r="J123" s="328">
        <v>1519.34</v>
      </c>
      <c r="K123" s="363">
        <f t="shared" si="82"/>
        <v>0.14000000000000001</v>
      </c>
      <c r="L123" s="405">
        <v>10635.41</v>
      </c>
      <c r="M123" s="328">
        <f>G123</f>
        <v>10635.41</v>
      </c>
      <c r="N123" s="328">
        <f t="shared" si="76"/>
        <v>0</v>
      </c>
      <c r="O123" s="147">
        <f>G123-L123</f>
        <v>0</v>
      </c>
      <c r="P123" s="433"/>
      <c r="Q123" s="462"/>
    </row>
    <row r="124" spans="1:17" s="325" customFormat="1" outlineLevel="1" x14ac:dyDescent="0.25">
      <c r="A124" s="359"/>
      <c r="B124" s="395" t="s">
        <v>130</v>
      </c>
      <c r="C124" s="364"/>
      <c r="D124" s="364"/>
      <c r="E124" s="364"/>
      <c r="F124" s="328"/>
      <c r="G124" s="328"/>
      <c r="H124" s="328"/>
      <c r="I124" s="363"/>
      <c r="J124" s="328"/>
      <c r="K124" s="363"/>
      <c r="L124" s="363"/>
      <c r="M124" s="328"/>
      <c r="N124" s="328"/>
      <c r="O124" s="147">
        <f>G124-L124</f>
        <v>0</v>
      </c>
      <c r="P124" s="433"/>
      <c r="Q124" s="462"/>
    </row>
    <row r="125" spans="1:17" s="325" customFormat="1" outlineLevel="1" x14ac:dyDescent="0.25">
      <c r="A125" s="359"/>
      <c r="B125" s="395" t="s">
        <v>133</v>
      </c>
      <c r="C125" s="364"/>
      <c r="D125" s="364"/>
      <c r="E125" s="364"/>
      <c r="F125" s="328"/>
      <c r="G125" s="328"/>
      <c r="H125" s="328"/>
      <c r="I125" s="363"/>
      <c r="J125" s="328"/>
      <c r="K125" s="363"/>
      <c r="L125" s="363"/>
      <c r="M125" s="328"/>
      <c r="N125" s="328"/>
      <c r="O125" s="147">
        <f t="shared" ref="O125" si="87">G125-L125</f>
        <v>0</v>
      </c>
      <c r="P125" s="433"/>
      <c r="Q125" s="462"/>
    </row>
    <row r="126" spans="1:17" s="325" customFormat="1" outlineLevel="1" x14ac:dyDescent="0.25">
      <c r="A126" s="359"/>
      <c r="B126" s="395" t="s">
        <v>13</v>
      </c>
      <c r="C126" s="364"/>
      <c r="D126" s="364"/>
      <c r="E126" s="364"/>
      <c r="F126" s="328"/>
      <c r="G126" s="330"/>
      <c r="H126" s="328"/>
      <c r="I126" s="363"/>
      <c r="J126" s="328"/>
      <c r="K126" s="363"/>
      <c r="L126" s="363"/>
      <c r="M126" s="328"/>
      <c r="N126" s="328"/>
      <c r="O126" s="65"/>
      <c r="P126" s="433"/>
      <c r="Q126" s="462"/>
    </row>
    <row r="127" spans="1:17" s="325" customFormat="1" outlineLevel="1" collapsed="1" x14ac:dyDescent="0.25">
      <c r="A127" s="359"/>
      <c r="B127" s="395" t="s">
        <v>5</v>
      </c>
      <c r="C127" s="364"/>
      <c r="D127" s="364"/>
      <c r="E127" s="364"/>
      <c r="F127" s="328"/>
      <c r="G127" s="330"/>
      <c r="H127" s="328"/>
      <c r="I127" s="363"/>
      <c r="J127" s="328"/>
      <c r="K127" s="363"/>
      <c r="L127" s="363"/>
      <c r="M127" s="328"/>
      <c r="N127" s="328"/>
      <c r="O127" s="65"/>
      <c r="P127" s="433"/>
      <c r="Q127" s="462"/>
    </row>
    <row r="128" spans="1:17" s="322" customFormat="1" ht="89.25" customHeight="1" x14ac:dyDescent="0.25">
      <c r="A128" s="354" t="s">
        <v>155</v>
      </c>
      <c r="B128" s="393" t="s">
        <v>142</v>
      </c>
      <c r="C128" s="319"/>
      <c r="D128" s="319"/>
      <c r="E128" s="319"/>
      <c r="F128" s="320">
        <f t="shared" ref="F128:H128" si="88">SUM(F129:F133)</f>
        <v>5950.76</v>
      </c>
      <c r="G128" s="320">
        <f t="shared" si="88"/>
        <v>5950.76</v>
      </c>
      <c r="H128" s="320">
        <f t="shared" si="88"/>
        <v>5950.76</v>
      </c>
      <c r="I128" s="355">
        <f t="shared" si="81"/>
        <v>1</v>
      </c>
      <c r="J128" s="320">
        <f>SUM(J129:J133)</f>
        <v>5794.61</v>
      </c>
      <c r="K128" s="355">
        <f t="shared" si="82"/>
        <v>0.97</v>
      </c>
      <c r="L128" s="320">
        <f>SUM(L129:L133)</f>
        <v>5794.61</v>
      </c>
      <c r="M128" s="320">
        <f>SUM(M129:M133)</f>
        <v>5950.76</v>
      </c>
      <c r="N128" s="320">
        <f t="shared" si="76"/>
        <v>0</v>
      </c>
      <c r="O128" s="320">
        <f t="shared" ref="O128" si="89">O129+O130+O131+O132+O133</f>
        <v>156.15</v>
      </c>
      <c r="P128" s="411" t="s">
        <v>178</v>
      </c>
      <c r="Q128" s="462"/>
    </row>
    <row r="129" spans="1:17" s="312" customFormat="1" ht="25.5" customHeight="1" x14ac:dyDescent="0.25">
      <c r="A129" s="354"/>
      <c r="B129" s="391" t="s">
        <v>4</v>
      </c>
      <c r="C129" s="314"/>
      <c r="D129" s="314"/>
      <c r="E129" s="314"/>
      <c r="F129" s="313">
        <v>4558.03</v>
      </c>
      <c r="G129" s="313">
        <v>4558.03</v>
      </c>
      <c r="H129" s="313">
        <f>G129</f>
        <v>4558.03</v>
      </c>
      <c r="I129" s="316">
        <f t="shared" si="81"/>
        <v>1</v>
      </c>
      <c r="J129" s="313">
        <v>4558.03</v>
      </c>
      <c r="K129" s="316">
        <f t="shared" si="82"/>
        <v>1</v>
      </c>
      <c r="L129" s="366">
        <v>4558.03</v>
      </c>
      <c r="M129" s="313">
        <f>G129</f>
        <v>4558.03</v>
      </c>
      <c r="N129" s="313">
        <f t="shared" si="76"/>
        <v>0</v>
      </c>
      <c r="O129" s="313">
        <f>G129-L129</f>
        <v>0</v>
      </c>
      <c r="P129" s="411"/>
      <c r="Q129" s="462"/>
    </row>
    <row r="130" spans="1:17" s="312" customFormat="1" ht="25.5" customHeight="1" x14ac:dyDescent="0.25">
      <c r="A130" s="354"/>
      <c r="B130" s="391" t="s">
        <v>130</v>
      </c>
      <c r="C130" s="314"/>
      <c r="D130" s="314"/>
      <c r="E130" s="314"/>
      <c r="F130" s="313">
        <v>1392.73</v>
      </c>
      <c r="G130" s="313">
        <v>1392.73</v>
      </c>
      <c r="H130" s="313">
        <f>G130</f>
        <v>1392.73</v>
      </c>
      <c r="I130" s="316">
        <f t="shared" si="81"/>
        <v>1</v>
      </c>
      <c r="J130" s="313">
        <v>1236.58</v>
      </c>
      <c r="K130" s="316">
        <f t="shared" si="82"/>
        <v>0.89</v>
      </c>
      <c r="L130" s="366">
        <v>1236.58</v>
      </c>
      <c r="M130" s="313">
        <f>G130</f>
        <v>1392.73</v>
      </c>
      <c r="N130" s="313">
        <f t="shared" si="76"/>
        <v>0</v>
      </c>
      <c r="O130" s="313">
        <f>G130-L130</f>
        <v>156.15</v>
      </c>
      <c r="P130" s="411"/>
      <c r="Q130" s="462"/>
    </row>
    <row r="131" spans="1:17" s="312" customFormat="1" ht="25.5" customHeight="1" x14ac:dyDescent="0.25">
      <c r="A131" s="354"/>
      <c r="B131" s="391" t="s">
        <v>133</v>
      </c>
      <c r="C131" s="314"/>
      <c r="D131" s="314"/>
      <c r="E131" s="314"/>
      <c r="F131" s="313"/>
      <c r="G131" s="313"/>
      <c r="H131" s="313"/>
      <c r="I131" s="316"/>
      <c r="J131" s="313"/>
      <c r="K131" s="316"/>
      <c r="L131" s="363"/>
      <c r="M131" s="313"/>
      <c r="N131" s="313"/>
      <c r="O131" s="313">
        <f t="shared" ref="O131" si="90">G131-L131</f>
        <v>0</v>
      </c>
      <c r="P131" s="411"/>
      <c r="Q131" s="462"/>
    </row>
    <row r="132" spans="1:17" s="312" customFormat="1" ht="25.5" customHeight="1" x14ac:dyDescent="0.25">
      <c r="A132" s="354"/>
      <c r="B132" s="391" t="s">
        <v>13</v>
      </c>
      <c r="C132" s="314"/>
      <c r="D132" s="314"/>
      <c r="E132" s="314"/>
      <c r="F132" s="313"/>
      <c r="G132" s="321"/>
      <c r="H132" s="313"/>
      <c r="I132" s="316"/>
      <c r="J132" s="313"/>
      <c r="K132" s="316"/>
      <c r="L132" s="363"/>
      <c r="M132" s="313"/>
      <c r="N132" s="313"/>
      <c r="O132" s="313"/>
      <c r="P132" s="411"/>
      <c r="Q132" s="462"/>
    </row>
    <row r="133" spans="1:17" s="312" customFormat="1" ht="25.5" customHeight="1" x14ac:dyDescent="0.25">
      <c r="A133" s="354"/>
      <c r="B133" s="391" t="s">
        <v>5</v>
      </c>
      <c r="C133" s="314"/>
      <c r="D133" s="314"/>
      <c r="E133" s="314"/>
      <c r="F133" s="313"/>
      <c r="G133" s="321"/>
      <c r="H133" s="313"/>
      <c r="I133" s="316"/>
      <c r="J133" s="313"/>
      <c r="K133" s="316"/>
      <c r="L133" s="363"/>
      <c r="M133" s="313"/>
      <c r="N133" s="313"/>
      <c r="O133" s="313"/>
      <c r="P133" s="411"/>
      <c r="Q133" s="462"/>
    </row>
    <row r="134" spans="1:17" s="322" customFormat="1" ht="80.25" customHeight="1" x14ac:dyDescent="0.25">
      <c r="A134" s="354" t="s">
        <v>156</v>
      </c>
      <c r="B134" s="393" t="s">
        <v>143</v>
      </c>
      <c r="C134" s="319"/>
      <c r="D134" s="319"/>
      <c r="E134" s="319"/>
      <c r="F134" s="320">
        <f t="shared" ref="F134:H134" si="91">SUM(F135:F139)</f>
        <v>2438.1</v>
      </c>
      <c r="G134" s="320">
        <f t="shared" si="91"/>
        <v>2438.1</v>
      </c>
      <c r="H134" s="320">
        <f t="shared" si="91"/>
        <v>0</v>
      </c>
      <c r="I134" s="355">
        <f t="shared" si="81"/>
        <v>0</v>
      </c>
      <c r="J134" s="320">
        <f>SUM(J135:J139)</f>
        <v>0</v>
      </c>
      <c r="K134" s="355">
        <f t="shared" si="82"/>
        <v>0</v>
      </c>
      <c r="L134" s="355"/>
      <c r="M134" s="320">
        <f>SUM(M135:M139)</f>
        <v>2438.1</v>
      </c>
      <c r="N134" s="320">
        <f t="shared" si="76"/>
        <v>0</v>
      </c>
      <c r="O134" s="320">
        <f t="shared" ref="O134" si="92">O135+O136+O137+O138+O139</f>
        <v>2438.1</v>
      </c>
      <c r="P134" s="376" t="s">
        <v>185</v>
      </c>
      <c r="Q134" s="462"/>
    </row>
    <row r="135" spans="1:17" s="312" customFormat="1" ht="25.5" x14ac:dyDescent="0.25">
      <c r="A135" s="367"/>
      <c r="B135" s="391" t="s">
        <v>144</v>
      </c>
      <c r="C135" s="314"/>
      <c r="D135" s="314"/>
      <c r="E135" s="314"/>
      <c r="F135" s="313">
        <v>2438.1</v>
      </c>
      <c r="G135" s="313">
        <v>2438.1</v>
      </c>
      <c r="H135" s="313"/>
      <c r="I135" s="316">
        <f t="shared" si="81"/>
        <v>0</v>
      </c>
      <c r="J135" s="313"/>
      <c r="K135" s="316">
        <f t="shared" si="82"/>
        <v>0</v>
      </c>
      <c r="L135" s="316"/>
      <c r="M135" s="313">
        <f>G135</f>
        <v>2438.1</v>
      </c>
      <c r="N135" s="313">
        <f t="shared" si="76"/>
        <v>0</v>
      </c>
      <c r="O135" s="313">
        <f>G135-L135</f>
        <v>2438.1</v>
      </c>
      <c r="P135" s="345"/>
      <c r="Q135" s="462"/>
    </row>
    <row r="136" spans="1:17" s="312" customFormat="1" ht="25.5" x14ac:dyDescent="0.25">
      <c r="A136" s="367"/>
      <c r="B136" s="391" t="s">
        <v>130</v>
      </c>
      <c r="C136" s="314"/>
      <c r="D136" s="314"/>
      <c r="E136" s="314"/>
      <c r="F136" s="313"/>
      <c r="G136" s="313"/>
      <c r="H136" s="313"/>
      <c r="I136" s="316"/>
      <c r="J136" s="313"/>
      <c r="K136" s="316"/>
      <c r="L136" s="316"/>
      <c r="M136" s="313"/>
      <c r="N136" s="313"/>
      <c r="O136" s="313">
        <f>G136-L136</f>
        <v>0</v>
      </c>
      <c r="P136" s="345"/>
      <c r="Q136" s="462"/>
    </row>
    <row r="137" spans="1:17" s="312" customFormat="1" ht="25.5" x14ac:dyDescent="0.25">
      <c r="A137" s="367"/>
      <c r="B137" s="391" t="s">
        <v>133</v>
      </c>
      <c r="C137" s="314"/>
      <c r="D137" s="314"/>
      <c r="E137" s="314"/>
      <c r="F137" s="313"/>
      <c r="G137" s="313"/>
      <c r="H137" s="313"/>
      <c r="I137" s="316"/>
      <c r="J137" s="313"/>
      <c r="K137" s="316"/>
      <c r="L137" s="316"/>
      <c r="M137" s="313"/>
      <c r="N137" s="313"/>
      <c r="O137" s="313">
        <f t="shared" ref="O137" si="93">G137-L137</f>
        <v>0</v>
      </c>
      <c r="P137" s="345"/>
      <c r="Q137" s="462"/>
    </row>
    <row r="138" spans="1:17" s="312" customFormat="1" ht="25.5" x14ac:dyDescent="0.25">
      <c r="A138" s="367"/>
      <c r="B138" s="391" t="s">
        <v>13</v>
      </c>
      <c r="C138" s="314"/>
      <c r="D138" s="314"/>
      <c r="E138" s="314"/>
      <c r="F138" s="313"/>
      <c r="G138" s="321"/>
      <c r="H138" s="313"/>
      <c r="I138" s="316"/>
      <c r="J138" s="313"/>
      <c r="K138" s="316"/>
      <c r="L138" s="316"/>
      <c r="M138" s="313"/>
      <c r="N138" s="313"/>
      <c r="O138" s="313"/>
      <c r="P138" s="345"/>
      <c r="Q138" s="462"/>
    </row>
    <row r="139" spans="1:17" s="312" customFormat="1" ht="25.5" x14ac:dyDescent="0.25">
      <c r="A139" s="367"/>
      <c r="B139" s="391" t="s">
        <v>5</v>
      </c>
      <c r="C139" s="314"/>
      <c r="D139" s="314"/>
      <c r="E139" s="314"/>
      <c r="F139" s="313"/>
      <c r="G139" s="321"/>
      <c r="H139" s="313"/>
      <c r="I139" s="316"/>
      <c r="J139" s="313"/>
      <c r="K139" s="316"/>
      <c r="L139" s="316"/>
      <c r="M139" s="313"/>
      <c r="N139" s="313"/>
      <c r="O139" s="313"/>
      <c r="P139" s="345"/>
      <c r="Q139" s="462"/>
    </row>
    <row r="140" spans="1:17" s="302" customFormat="1" ht="408" customHeight="1" x14ac:dyDescent="0.25">
      <c r="A140" s="413" t="s">
        <v>24</v>
      </c>
      <c r="B140" s="418" t="s">
        <v>193</v>
      </c>
      <c r="C140" s="61">
        <f>SUM(C142:C146)</f>
        <v>0</v>
      </c>
      <c r="D140" s="61">
        <f>SUM(D142:D146)</f>
        <v>0</v>
      </c>
      <c r="E140" s="61">
        <f>SUM(E142:E146)</f>
        <v>0</v>
      </c>
      <c r="F140" s="420">
        <f>SUM(F142:F146)</f>
        <v>193006.53</v>
      </c>
      <c r="G140" s="420">
        <f>SUM(G142:G146)</f>
        <v>270569.03000000003</v>
      </c>
      <c r="H140" s="420">
        <f t="shared" ref="H140:J140" si="94">SUM(H142:H146)</f>
        <v>62844.57</v>
      </c>
      <c r="I140" s="422">
        <f t="shared" si="81"/>
        <v>0.23</v>
      </c>
      <c r="J140" s="420">
        <f t="shared" si="94"/>
        <v>56042.77</v>
      </c>
      <c r="K140" s="422">
        <f t="shared" si="82"/>
        <v>0.21</v>
      </c>
      <c r="L140" s="424">
        <f>L142+L143+L144+L145+L146</f>
        <v>269492.40999999997</v>
      </c>
      <c r="M140" s="407"/>
      <c r="N140" s="407"/>
      <c r="O140" s="424">
        <f>SUM(O142:O146)</f>
        <v>1076.6199999999999</v>
      </c>
      <c r="P140" s="414" t="s">
        <v>205</v>
      </c>
      <c r="Q140" s="462"/>
    </row>
    <row r="141" spans="1:17" s="302" customFormat="1" ht="57" customHeight="1" x14ac:dyDescent="0.25">
      <c r="A141" s="413"/>
      <c r="B141" s="419"/>
      <c r="C141" s="61"/>
      <c r="D141" s="61"/>
      <c r="E141" s="61"/>
      <c r="F141" s="421"/>
      <c r="G141" s="421"/>
      <c r="H141" s="421"/>
      <c r="I141" s="423"/>
      <c r="J141" s="421"/>
      <c r="K141" s="423"/>
      <c r="L141" s="425"/>
      <c r="M141" s="407"/>
      <c r="N141" s="407"/>
      <c r="O141" s="425"/>
      <c r="P141" s="414"/>
      <c r="Q141" s="462"/>
    </row>
    <row r="142" spans="1:17" s="299" customFormat="1" ht="23.25" customHeight="1" x14ac:dyDescent="0.25">
      <c r="A142" s="413"/>
      <c r="B142" s="385" t="s">
        <v>4</v>
      </c>
      <c r="C142" s="65"/>
      <c r="D142" s="65"/>
      <c r="E142" s="61"/>
      <c r="F142" s="65"/>
      <c r="G142" s="65"/>
      <c r="H142" s="65"/>
      <c r="I142" s="74"/>
      <c r="J142" s="65"/>
      <c r="K142" s="74"/>
      <c r="L142" s="408"/>
      <c r="M142" s="208"/>
      <c r="N142" s="208"/>
      <c r="O142" s="408">
        <f>G142-L142</f>
        <v>0</v>
      </c>
      <c r="P142" s="415"/>
      <c r="Q142" s="462"/>
    </row>
    <row r="143" spans="1:17" s="299" customFormat="1" ht="23.25" customHeight="1" x14ac:dyDescent="0.25">
      <c r="A143" s="413"/>
      <c r="B143" s="385" t="s">
        <v>16</v>
      </c>
      <c r="C143" s="65"/>
      <c r="D143" s="65"/>
      <c r="E143" s="61"/>
      <c r="F143" s="65">
        <v>82288.800000000003</v>
      </c>
      <c r="G143" s="65">
        <v>130308.8</v>
      </c>
      <c r="H143" s="65">
        <f>19263.22+6914.23</f>
        <v>26177.45</v>
      </c>
      <c r="I143" s="74">
        <f>H143/G143</f>
        <v>0.2</v>
      </c>
      <c r="J143" s="65">
        <f>19375.65</f>
        <v>19375.650000000001</v>
      </c>
      <c r="K143" s="74">
        <f>J143/G143</f>
        <v>0.15</v>
      </c>
      <c r="L143" s="208">
        <f>63025.5+19263.22+48020.08</f>
        <v>130308.8</v>
      </c>
      <c r="M143" s="208"/>
      <c r="N143" s="208"/>
      <c r="O143" s="208">
        <f>G143-L143</f>
        <v>0</v>
      </c>
      <c r="P143" s="415"/>
      <c r="Q143" s="462"/>
    </row>
    <row r="144" spans="1:17" s="299" customFormat="1" ht="23.25" customHeight="1" x14ac:dyDescent="0.25">
      <c r="A144" s="413"/>
      <c r="B144" s="385" t="s">
        <v>11</v>
      </c>
      <c r="C144" s="65"/>
      <c r="D144" s="65"/>
      <c r="E144" s="61"/>
      <c r="F144" s="65">
        <v>1501.8</v>
      </c>
      <c r="G144" s="65">
        <v>31044.3</v>
      </c>
      <c r="H144" s="65">
        <f>J144</f>
        <v>12354.73</v>
      </c>
      <c r="I144" s="74">
        <f>H144/G144</f>
        <v>0.4</v>
      </c>
      <c r="J144" s="65">
        <v>12354.73</v>
      </c>
      <c r="K144" s="74">
        <f>J144/G144</f>
        <v>0.4</v>
      </c>
      <c r="L144" s="208">
        <v>31044.3</v>
      </c>
      <c r="M144" s="208"/>
      <c r="N144" s="208"/>
      <c r="O144" s="208">
        <f>G144-L144</f>
        <v>0</v>
      </c>
      <c r="P144" s="415"/>
      <c r="Q144" s="462"/>
    </row>
    <row r="145" spans="1:17" s="299" customFormat="1" ht="23.25" customHeight="1" x14ac:dyDescent="0.25">
      <c r="A145" s="413"/>
      <c r="B145" s="385" t="s">
        <v>13</v>
      </c>
      <c r="C145" s="65"/>
      <c r="D145" s="65"/>
      <c r="E145" s="65"/>
      <c r="F145" s="65"/>
      <c r="G145" s="65"/>
      <c r="H145" s="368"/>
      <c r="I145" s="74"/>
      <c r="J145" s="368"/>
      <c r="K145" s="74"/>
      <c r="L145" s="208"/>
      <c r="M145" s="208"/>
      <c r="N145" s="208"/>
      <c r="O145" s="208">
        <f>G145-L145</f>
        <v>0</v>
      </c>
      <c r="P145" s="415"/>
      <c r="Q145" s="462"/>
    </row>
    <row r="146" spans="1:17" s="299" customFormat="1" ht="23.25" customHeight="1" x14ac:dyDescent="0.25">
      <c r="A146" s="413"/>
      <c r="B146" s="385" t="s">
        <v>5</v>
      </c>
      <c r="C146" s="65"/>
      <c r="D146" s="65"/>
      <c r="E146" s="65"/>
      <c r="F146" s="65">
        <v>109215.93</v>
      </c>
      <c r="G146" s="65">
        <v>109215.93</v>
      </c>
      <c r="H146" s="65">
        <f>J146</f>
        <v>24312.39</v>
      </c>
      <c r="I146" s="74">
        <f t="shared" ref="I146:I152" si="95">H146/G146</f>
        <v>0.22</v>
      </c>
      <c r="J146" s="65">
        <v>24312.39</v>
      </c>
      <c r="K146" s="74">
        <f t="shared" ref="K146:K152" si="96">J146/G146</f>
        <v>0.22</v>
      </c>
      <c r="L146" s="208">
        <v>108139.31</v>
      </c>
      <c r="M146" s="208"/>
      <c r="N146" s="208"/>
      <c r="O146" s="208">
        <f>G146-L146</f>
        <v>1076.6199999999999</v>
      </c>
      <c r="P146" s="415"/>
      <c r="Q146" s="462"/>
    </row>
    <row r="147" spans="1:17" s="302" customFormat="1" ht="409.5" customHeight="1" x14ac:dyDescent="0.25">
      <c r="A147" s="451" t="s">
        <v>25</v>
      </c>
      <c r="B147" s="453" t="s">
        <v>199</v>
      </c>
      <c r="C147" s="121"/>
      <c r="D147" s="121"/>
      <c r="E147" s="121"/>
      <c r="F147" s="449">
        <f>F149+F150+F151+F152+F153</f>
        <v>60370.879999999997</v>
      </c>
      <c r="G147" s="449">
        <f>G149+G150+G151+G152+G153</f>
        <v>61670.879999999997</v>
      </c>
      <c r="H147" s="449">
        <f>H149+H150+H151+H152+H153</f>
        <v>41889.769999999997</v>
      </c>
      <c r="I147" s="447">
        <f t="shared" si="95"/>
        <v>0.68</v>
      </c>
      <c r="J147" s="449">
        <f>J149+J150+J151+J152+J153</f>
        <v>36363.07</v>
      </c>
      <c r="K147" s="447">
        <f t="shared" si="96"/>
        <v>0.59</v>
      </c>
      <c r="L147" s="449">
        <f>L149+L150+L151+L152+L153</f>
        <v>61470.879999999997</v>
      </c>
      <c r="M147" s="121">
        <f>M149+M150+M151+M152+M153</f>
        <v>0</v>
      </c>
      <c r="N147" s="121">
        <f>N149+N150+N151+N152+N153</f>
        <v>0</v>
      </c>
      <c r="O147" s="463">
        <f>G147-L147</f>
        <v>200</v>
      </c>
      <c r="P147" s="412" t="s">
        <v>220</v>
      </c>
      <c r="Q147" s="462"/>
    </row>
    <row r="148" spans="1:17" s="302" customFormat="1" ht="178.5" customHeight="1" x14ac:dyDescent="0.25">
      <c r="A148" s="452"/>
      <c r="B148" s="454"/>
      <c r="C148" s="379"/>
      <c r="D148" s="379"/>
      <c r="E148" s="379"/>
      <c r="F148" s="450"/>
      <c r="G148" s="450"/>
      <c r="H148" s="450"/>
      <c r="I148" s="448"/>
      <c r="J148" s="450"/>
      <c r="K148" s="448"/>
      <c r="L148" s="465"/>
      <c r="M148" s="409"/>
      <c r="N148" s="409"/>
      <c r="O148" s="464"/>
      <c r="P148" s="412"/>
      <c r="Q148" s="462"/>
    </row>
    <row r="149" spans="1:17" s="299" customFormat="1" ht="39.75" customHeight="1" x14ac:dyDescent="0.25">
      <c r="A149" s="334"/>
      <c r="B149" s="385" t="s">
        <v>4</v>
      </c>
      <c r="C149" s="121"/>
      <c r="D149" s="121"/>
      <c r="E149" s="121"/>
      <c r="F149" s="125">
        <v>19563.2</v>
      </c>
      <c r="G149" s="125">
        <v>19563.2</v>
      </c>
      <c r="H149" s="125">
        <v>13562.1</v>
      </c>
      <c r="I149" s="130">
        <f>H149/G149</f>
        <v>0.69</v>
      </c>
      <c r="J149" s="125">
        <v>11774.93</v>
      </c>
      <c r="K149" s="130">
        <f t="shared" si="96"/>
        <v>0.6</v>
      </c>
      <c r="L149" s="125">
        <v>19563.2</v>
      </c>
      <c r="M149" s="65"/>
      <c r="N149" s="65"/>
      <c r="O149" s="466">
        <f>G149-L149</f>
        <v>0</v>
      </c>
      <c r="P149" s="412"/>
      <c r="Q149" s="462"/>
    </row>
    <row r="150" spans="1:17" s="299" customFormat="1" ht="39.75" customHeight="1" x14ac:dyDescent="0.25">
      <c r="A150" s="335"/>
      <c r="B150" s="385" t="s">
        <v>16</v>
      </c>
      <c r="C150" s="121"/>
      <c r="D150" s="121"/>
      <c r="E150" s="121"/>
      <c r="F150" s="125">
        <v>19941.2</v>
      </c>
      <c r="G150" s="125">
        <v>21241.200000000001</v>
      </c>
      <c r="H150" s="125">
        <v>15118.45</v>
      </c>
      <c r="I150" s="130">
        <f t="shared" si="95"/>
        <v>0.71</v>
      </c>
      <c r="J150" s="125">
        <v>11378.92</v>
      </c>
      <c r="K150" s="130">
        <f t="shared" si="96"/>
        <v>0.54</v>
      </c>
      <c r="L150" s="125">
        <f>15988.4+1100+3952.8</f>
        <v>21041.200000000001</v>
      </c>
      <c r="M150" s="65"/>
      <c r="N150" s="65"/>
      <c r="O150" s="467">
        <f t="shared" ref="O150:O152" si="97">G150-L150</f>
        <v>200</v>
      </c>
      <c r="P150" s="412"/>
      <c r="Q150" s="462"/>
    </row>
    <row r="151" spans="1:17" s="299" customFormat="1" ht="39.75" customHeight="1" x14ac:dyDescent="0.25">
      <c r="A151" s="335"/>
      <c r="B151" s="385" t="s">
        <v>11</v>
      </c>
      <c r="C151" s="121"/>
      <c r="D151" s="121"/>
      <c r="E151" s="121"/>
      <c r="F151" s="125">
        <v>1102.2</v>
      </c>
      <c r="G151" s="125">
        <v>1102.2</v>
      </c>
      <c r="H151" s="125">
        <v>855.4</v>
      </c>
      <c r="I151" s="130">
        <f t="shared" si="95"/>
        <v>0.78</v>
      </c>
      <c r="J151" s="125">
        <v>855.4</v>
      </c>
      <c r="K151" s="130">
        <f t="shared" si="96"/>
        <v>0.78</v>
      </c>
      <c r="L151" s="125">
        <v>1102.2</v>
      </c>
      <c r="M151" s="65"/>
      <c r="N151" s="65"/>
      <c r="O151" s="466">
        <f t="shared" si="97"/>
        <v>0</v>
      </c>
      <c r="P151" s="412"/>
      <c r="Q151" s="462"/>
    </row>
    <row r="152" spans="1:17" s="299" customFormat="1" ht="39.75" customHeight="1" x14ac:dyDescent="0.25">
      <c r="A152" s="335"/>
      <c r="B152" s="385" t="s">
        <v>13</v>
      </c>
      <c r="C152" s="121"/>
      <c r="D152" s="121"/>
      <c r="E152" s="121"/>
      <c r="F152" s="125">
        <f>20866.48-F151</f>
        <v>19764.28</v>
      </c>
      <c r="G152" s="125">
        <f>20866.48-G151</f>
        <v>19764.28</v>
      </c>
      <c r="H152" s="125">
        <v>12353.82</v>
      </c>
      <c r="I152" s="130">
        <f t="shared" si="95"/>
        <v>0.63</v>
      </c>
      <c r="J152" s="125">
        <f>13209.22-J151</f>
        <v>12353.82</v>
      </c>
      <c r="K152" s="130">
        <f t="shared" si="96"/>
        <v>0.63</v>
      </c>
      <c r="L152" s="125">
        <v>19764.28</v>
      </c>
      <c r="M152" s="65"/>
      <c r="N152" s="65"/>
      <c r="O152" s="466">
        <f t="shared" si="97"/>
        <v>0</v>
      </c>
      <c r="P152" s="412"/>
      <c r="Q152" s="462"/>
    </row>
    <row r="153" spans="1:17" s="299" customFormat="1" ht="39.75" customHeight="1" x14ac:dyDescent="0.25">
      <c r="A153" s="335"/>
      <c r="B153" s="385" t="s">
        <v>5</v>
      </c>
      <c r="C153" s="125"/>
      <c r="D153" s="125"/>
      <c r="E153" s="125"/>
      <c r="F153" s="125"/>
      <c r="G153" s="125"/>
      <c r="H153" s="125"/>
      <c r="I153" s="130"/>
      <c r="J153" s="125"/>
      <c r="K153" s="130"/>
      <c r="L153" s="125"/>
      <c r="M153" s="65"/>
      <c r="N153" s="65"/>
      <c r="O153" s="466"/>
      <c r="P153" s="412"/>
      <c r="Q153" s="462"/>
    </row>
    <row r="154" spans="1:17" s="302" customFormat="1" ht="111" customHeight="1" x14ac:dyDescent="0.25">
      <c r="A154" s="175" t="s">
        <v>26</v>
      </c>
      <c r="B154" s="388" t="s">
        <v>106</v>
      </c>
      <c r="C154" s="61"/>
      <c r="D154" s="61"/>
      <c r="E154" s="61"/>
      <c r="F154" s="107"/>
      <c r="G154" s="107"/>
      <c r="H154" s="107"/>
      <c r="I154" s="108"/>
      <c r="J154" s="107"/>
      <c r="K154" s="108"/>
      <c r="L154" s="108"/>
      <c r="M154" s="70"/>
      <c r="N154" s="70"/>
      <c r="O154" s="70"/>
      <c r="P154" s="369" t="s">
        <v>124</v>
      </c>
      <c r="Q154" s="462"/>
    </row>
    <row r="155" spans="1:17" s="302" customFormat="1" x14ac:dyDescent="0.25">
      <c r="A155" s="175"/>
      <c r="B155" s="385" t="s">
        <v>4</v>
      </c>
      <c r="C155" s="61"/>
      <c r="D155" s="61"/>
      <c r="E155" s="61"/>
      <c r="F155" s="107"/>
      <c r="G155" s="107"/>
      <c r="H155" s="107"/>
      <c r="I155" s="108"/>
      <c r="J155" s="107"/>
      <c r="K155" s="108"/>
      <c r="L155" s="108"/>
      <c r="M155" s="70"/>
      <c r="N155" s="70"/>
      <c r="O155" s="70"/>
      <c r="P155" s="369"/>
      <c r="Q155" s="462"/>
    </row>
    <row r="156" spans="1:17" s="302" customFormat="1" x14ac:dyDescent="0.25">
      <c r="A156" s="175"/>
      <c r="B156" s="385" t="s">
        <v>16</v>
      </c>
      <c r="C156" s="61"/>
      <c r="D156" s="61"/>
      <c r="E156" s="61"/>
      <c r="F156" s="107"/>
      <c r="G156" s="107"/>
      <c r="H156" s="107"/>
      <c r="I156" s="108"/>
      <c r="J156" s="107"/>
      <c r="K156" s="108"/>
      <c r="L156" s="108"/>
      <c r="M156" s="70"/>
      <c r="N156" s="70"/>
      <c r="O156" s="70"/>
      <c r="P156" s="369"/>
      <c r="Q156" s="462"/>
    </row>
    <row r="157" spans="1:17" s="302" customFormat="1" x14ac:dyDescent="0.25">
      <c r="A157" s="175"/>
      <c r="B157" s="385" t="s">
        <v>11</v>
      </c>
      <c r="C157" s="61"/>
      <c r="D157" s="61"/>
      <c r="E157" s="61"/>
      <c r="F157" s="107"/>
      <c r="G157" s="107"/>
      <c r="H157" s="107"/>
      <c r="I157" s="108"/>
      <c r="J157" s="107"/>
      <c r="K157" s="108"/>
      <c r="L157" s="108"/>
      <c r="M157" s="70"/>
      <c r="N157" s="70"/>
      <c r="O157" s="70"/>
      <c r="P157" s="369"/>
      <c r="Q157" s="462"/>
    </row>
    <row r="158" spans="1:17" s="302" customFormat="1" x14ac:dyDescent="0.25">
      <c r="A158" s="175"/>
      <c r="B158" s="385" t="s">
        <v>13</v>
      </c>
      <c r="C158" s="61"/>
      <c r="D158" s="61"/>
      <c r="E158" s="61"/>
      <c r="F158" s="107"/>
      <c r="G158" s="107"/>
      <c r="H158" s="107"/>
      <c r="I158" s="108"/>
      <c r="J158" s="107"/>
      <c r="K158" s="108"/>
      <c r="L158" s="108"/>
      <c r="M158" s="70"/>
      <c r="N158" s="70"/>
      <c r="O158" s="70"/>
      <c r="P158" s="369"/>
      <c r="Q158" s="462"/>
    </row>
    <row r="159" spans="1:17" s="302" customFormat="1" x14ac:dyDescent="0.25">
      <c r="A159" s="175"/>
      <c r="B159" s="385" t="s">
        <v>5</v>
      </c>
      <c r="C159" s="61"/>
      <c r="D159" s="61"/>
      <c r="E159" s="61"/>
      <c r="F159" s="107"/>
      <c r="G159" s="107"/>
      <c r="H159" s="107"/>
      <c r="I159" s="108"/>
      <c r="J159" s="107"/>
      <c r="K159" s="108"/>
      <c r="L159" s="108"/>
      <c r="M159" s="70"/>
      <c r="N159" s="70"/>
      <c r="O159" s="70"/>
      <c r="P159" s="369"/>
      <c r="Q159" s="462"/>
    </row>
    <row r="160" spans="1:17" s="303" customFormat="1" ht="164.25" customHeight="1" x14ac:dyDescent="0.25">
      <c r="A160" s="175" t="s">
        <v>27</v>
      </c>
      <c r="B160" s="388" t="s">
        <v>107</v>
      </c>
      <c r="C160" s="61"/>
      <c r="D160" s="61"/>
      <c r="E160" s="61"/>
      <c r="F160" s="107"/>
      <c r="G160" s="107"/>
      <c r="H160" s="107"/>
      <c r="I160" s="108"/>
      <c r="J160" s="107"/>
      <c r="K160" s="108"/>
      <c r="L160" s="108"/>
      <c r="M160" s="70"/>
      <c r="N160" s="70"/>
      <c r="O160" s="70"/>
      <c r="P160" s="369" t="s">
        <v>124</v>
      </c>
      <c r="Q160" s="462"/>
    </row>
    <row r="161" spans="1:17" s="303" customFormat="1" ht="52.5" customHeight="1" x14ac:dyDescent="0.25">
      <c r="A161" s="175"/>
      <c r="B161" s="385" t="s">
        <v>4</v>
      </c>
      <c r="C161" s="61"/>
      <c r="D161" s="61"/>
      <c r="E161" s="61"/>
      <c r="F161" s="107"/>
      <c r="G161" s="107"/>
      <c r="H161" s="107"/>
      <c r="I161" s="108"/>
      <c r="J161" s="107"/>
      <c r="K161" s="108"/>
      <c r="L161" s="108"/>
      <c r="M161" s="70"/>
      <c r="N161" s="70"/>
      <c r="O161" s="70"/>
      <c r="P161" s="369"/>
      <c r="Q161" s="462"/>
    </row>
    <row r="162" spans="1:17" s="303" customFormat="1" ht="52.5" customHeight="1" x14ac:dyDescent="0.25">
      <c r="A162" s="175"/>
      <c r="B162" s="385" t="s">
        <v>16</v>
      </c>
      <c r="C162" s="61"/>
      <c r="D162" s="61"/>
      <c r="E162" s="61"/>
      <c r="F162" s="107"/>
      <c r="G162" s="107"/>
      <c r="H162" s="107"/>
      <c r="I162" s="108"/>
      <c r="J162" s="107"/>
      <c r="K162" s="108"/>
      <c r="L162" s="108"/>
      <c r="M162" s="70"/>
      <c r="N162" s="70"/>
      <c r="O162" s="70"/>
      <c r="P162" s="369"/>
      <c r="Q162" s="462"/>
    </row>
    <row r="163" spans="1:17" s="303" customFormat="1" ht="58.5" customHeight="1" x14ac:dyDescent="0.25">
      <c r="A163" s="175"/>
      <c r="B163" s="385" t="s">
        <v>11</v>
      </c>
      <c r="C163" s="61"/>
      <c r="D163" s="61"/>
      <c r="E163" s="61"/>
      <c r="F163" s="107"/>
      <c r="G163" s="107"/>
      <c r="H163" s="107"/>
      <c r="I163" s="108"/>
      <c r="J163" s="107"/>
      <c r="K163" s="108"/>
      <c r="L163" s="108"/>
      <c r="M163" s="70"/>
      <c r="N163" s="70"/>
      <c r="O163" s="70"/>
      <c r="P163" s="369"/>
      <c r="Q163" s="462"/>
    </row>
    <row r="164" spans="1:17" s="303" customFormat="1" ht="54.75" customHeight="1" x14ac:dyDescent="0.25">
      <c r="A164" s="175"/>
      <c r="B164" s="385" t="s">
        <v>13</v>
      </c>
      <c r="C164" s="61"/>
      <c r="D164" s="61"/>
      <c r="E164" s="61"/>
      <c r="F164" s="107"/>
      <c r="G164" s="107"/>
      <c r="H164" s="107"/>
      <c r="I164" s="108"/>
      <c r="J164" s="107"/>
      <c r="K164" s="108"/>
      <c r="L164" s="108"/>
      <c r="M164" s="70"/>
      <c r="N164" s="70"/>
      <c r="O164" s="70"/>
      <c r="P164" s="369"/>
      <c r="Q164" s="462"/>
    </row>
    <row r="165" spans="1:17" s="303" customFormat="1" ht="54.75" customHeight="1" x14ac:dyDescent="0.25">
      <c r="A165" s="175"/>
      <c r="B165" s="385" t="s">
        <v>5</v>
      </c>
      <c r="C165" s="61"/>
      <c r="D165" s="61"/>
      <c r="E165" s="61"/>
      <c r="F165" s="107"/>
      <c r="G165" s="107"/>
      <c r="H165" s="107"/>
      <c r="I165" s="108"/>
      <c r="J165" s="107"/>
      <c r="K165" s="108"/>
      <c r="L165" s="108"/>
      <c r="M165" s="70"/>
      <c r="N165" s="70"/>
      <c r="O165" s="70"/>
      <c r="P165" s="369"/>
      <c r="Q165" s="462"/>
    </row>
    <row r="166" spans="1:17" s="302" customFormat="1" ht="408.75" customHeight="1" x14ac:dyDescent="0.25">
      <c r="A166" s="175" t="s">
        <v>28</v>
      </c>
      <c r="B166" s="388" t="s">
        <v>200</v>
      </c>
      <c r="C166" s="61" t="e">
        <f>SUM(C167:C171)</f>
        <v>#REF!</v>
      </c>
      <c r="D166" s="61" t="e">
        <f>SUM(D167:D171)</f>
        <v>#REF!</v>
      </c>
      <c r="E166" s="61">
        <v>0</v>
      </c>
      <c r="F166" s="61">
        <f>F168+F167+F169+F170+F171</f>
        <v>142882.93</v>
      </c>
      <c r="G166" s="61">
        <f t="shared" ref="G166:O166" si="98">G168+G167+G169+G170+G171</f>
        <v>142882.93</v>
      </c>
      <c r="H166" s="61">
        <f t="shared" si="98"/>
        <v>125638.25</v>
      </c>
      <c r="I166" s="74">
        <f>H166/G166</f>
        <v>0.88</v>
      </c>
      <c r="J166" s="61">
        <f>J168+J167+J169+J170+J171</f>
        <v>100932.23</v>
      </c>
      <c r="K166" s="74">
        <f t="shared" ref="K166:K169" si="99">J166/G166</f>
        <v>0.71</v>
      </c>
      <c r="L166" s="61">
        <f t="shared" si="98"/>
        <v>142882.93</v>
      </c>
      <c r="M166" s="61">
        <f t="shared" si="98"/>
        <v>0</v>
      </c>
      <c r="N166" s="61">
        <f t="shared" si="98"/>
        <v>0</v>
      </c>
      <c r="O166" s="61">
        <f t="shared" si="98"/>
        <v>0</v>
      </c>
      <c r="P166" s="417" t="s">
        <v>213</v>
      </c>
      <c r="Q166" s="462"/>
    </row>
    <row r="167" spans="1:17" s="299" customFormat="1" ht="86.25" customHeight="1" x14ac:dyDescent="0.25">
      <c r="A167" s="336"/>
      <c r="B167" s="385" t="s">
        <v>4</v>
      </c>
      <c r="C167" s="65"/>
      <c r="D167" s="65"/>
      <c r="E167" s="65"/>
      <c r="F167" s="89"/>
      <c r="G167" s="89"/>
      <c r="H167" s="89"/>
      <c r="I167" s="90"/>
      <c r="J167" s="89"/>
      <c r="K167" s="90"/>
      <c r="L167" s="89"/>
      <c r="M167" s="65"/>
      <c r="N167" s="65"/>
      <c r="O167" s="65"/>
      <c r="P167" s="417"/>
      <c r="Q167" s="462"/>
    </row>
    <row r="168" spans="1:17" s="299" customFormat="1" ht="105" customHeight="1" x14ac:dyDescent="0.25">
      <c r="A168" s="336"/>
      <c r="B168" s="385" t="s">
        <v>16</v>
      </c>
      <c r="C168" s="65"/>
      <c r="D168" s="65"/>
      <c r="E168" s="65"/>
      <c r="F168" s="125">
        <v>128460.67</v>
      </c>
      <c r="G168" s="125">
        <v>128460.67</v>
      </c>
      <c r="H168" s="241">
        <v>118582.29</v>
      </c>
      <c r="I168" s="74">
        <f>H168/G168</f>
        <v>0.92</v>
      </c>
      <c r="J168" s="125">
        <v>93876.27</v>
      </c>
      <c r="K168" s="74">
        <f t="shared" si="99"/>
        <v>0.73</v>
      </c>
      <c r="L168" s="125">
        <f>116691.07+11769.6</f>
        <v>128460.67</v>
      </c>
      <c r="M168" s="65"/>
      <c r="N168" s="65"/>
      <c r="O168" s="147">
        <f>G168-L168</f>
        <v>0</v>
      </c>
      <c r="P168" s="417"/>
      <c r="Q168" s="462"/>
    </row>
    <row r="169" spans="1:17" s="299" customFormat="1" ht="105" customHeight="1" x14ac:dyDescent="0.25">
      <c r="A169" s="336"/>
      <c r="B169" s="385" t="s">
        <v>11</v>
      </c>
      <c r="C169" s="65" t="e">
        <f>#REF!</f>
        <v>#REF!</v>
      </c>
      <c r="D169" s="65" t="e">
        <f>#REF!</f>
        <v>#REF!</v>
      </c>
      <c r="E169" s="65" t="e">
        <f>#REF!</f>
        <v>#REF!</v>
      </c>
      <c r="F169" s="65">
        <f>14422.26-F170</f>
        <v>10550.48</v>
      </c>
      <c r="G169" s="65">
        <f>14422.26-G170</f>
        <v>10550.48</v>
      </c>
      <c r="H169" s="208">
        <f>J169</f>
        <v>4420.43</v>
      </c>
      <c r="I169" s="130">
        <f t="shared" ref="I169" si="100">H169/G169</f>
        <v>0.42</v>
      </c>
      <c r="J169" s="65">
        <f>7055.96-J170</f>
        <v>4420.43</v>
      </c>
      <c r="K169" s="74">
        <f t="shared" si="99"/>
        <v>0.42</v>
      </c>
      <c r="L169" s="65">
        <f>4780.5+5769.98</f>
        <v>10550.48</v>
      </c>
      <c r="M169" s="65"/>
      <c r="N169" s="65"/>
      <c r="O169" s="147">
        <f>G169-L169</f>
        <v>0</v>
      </c>
      <c r="P169" s="417"/>
      <c r="Q169" s="462"/>
    </row>
    <row r="170" spans="1:17" s="299" customFormat="1" ht="105" customHeight="1" x14ac:dyDescent="0.25">
      <c r="A170" s="336"/>
      <c r="B170" s="385" t="s">
        <v>13</v>
      </c>
      <c r="C170" s="65"/>
      <c r="D170" s="65"/>
      <c r="E170" s="65"/>
      <c r="F170" s="65">
        <v>3871.78</v>
      </c>
      <c r="G170" s="65">
        <v>3871.78</v>
      </c>
      <c r="H170" s="208">
        <f>J170</f>
        <v>2635.53</v>
      </c>
      <c r="I170" s="130">
        <f>H170/G170</f>
        <v>0.68</v>
      </c>
      <c r="J170" s="65">
        <v>2635.53</v>
      </c>
      <c r="K170" s="74">
        <f>J170/G170</f>
        <v>0.68</v>
      </c>
      <c r="L170" s="65">
        <v>3871.78</v>
      </c>
      <c r="M170" s="65"/>
      <c r="N170" s="65"/>
      <c r="O170" s="147">
        <f>G170-L170</f>
        <v>0</v>
      </c>
      <c r="P170" s="417"/>
      <c r="Q170" s="462"/>
    </row>
    <row r="171" spans="1:17" s="299" customFormat="1" ht="92.25" customHeight="1" x14ac:dyDescent="0.25">
      <c r="A171" s="336"/>
      <c r="B171" s="385" t="s">
        <v>5</v>
      </c>
      <c r="C171" s="65"/>
      <c r="D171" s="65"/>
      <c r="E171" s="65"/>
      <c r="F171" s="65"/>
      <c r="G171" s="65"/>
      <c r="H171" s="65"/>
      <c r="I171" s="74"/>
      <c r="J171" s="65"/>
      <c r="K171" s="74"/>
      <c r="L171" s="65"/>
      <c r="M171" s="65"/>
      <c r="N171" s="65"/>
      <c r="O171" s="65"/>
      <c r="P171" s="417"/>
      <c r="Q171" s="462"/>
    </row>
    <row r="172" spans="1:17" s="58" customFormat="1" ht="93.75" customHeight="1" x14ac:dyDescent="0.25">
      <c r="A172" s="175" t="s">
        <v>29</v>
      </c>
      <c r="B172" s="388" t="s">
        <v>109</v>
      </c>
      <c r="C172" s="61" t="e">
        <f>#REF!+#REF!+#REF!+#REF!+#REF!</f>
        <v>#REF!</v>
      </c>
      <c r="D172" s="61" t="e">
        <f>#REF!+#REF!+#REF!+#REF!+#REF!</f>
        <v>#REF!</v>
      </c>
      <c r="E172" s="61" t="e">
        <f>#REF!+#REF!+#REF!+#REF!+#REF!</f>
        <v>#REF!</v>
      </c>
      <c r="F172" s="107"/>
      <c r="G172" s="107"/>
      <c r="H172" s="115"/>
      <c r="I172" s="133"/>
      <c r="J172" s="134"/>
      <c r="K172" s="133"/>
      <c r="L172" s="133"/>
      <c r="M172" s="70"/>
      <c r="N172" s="70"/>
      <c r="O172" s="70"/>
      <c r="P172" s="341" t="s">
        <v>124</v>
      </c>
      <c r="Q172" s="462"/>
    </row>
    <row r="173" spans="1:17" ht="129.75" customHeight="1" x14ac:dyDescent="0.4">
      <c r="A173" s="175" t="s">
        <v>30</v>
      </c>
      <c r="B173" s="388" t="s">
        <v>201</v>
      </c>
      <c r="C173" s="61" t="e">
        <f>SUM(C174:C178)</f>
        <v>#REF!</v>
      </c>
      <c r="D173" s="61" t="e">
        <f>SUM(D174:D178)</f>
        <v>#REF!</v>
      </c>
      <c r="E173" s="61" t="e">
        <f>SUM(E174:E178)</f>
        <v>#REF!</v>
      </c>
      <c r="F173" s="61">
        <f>SUM(F174:F178)</f>
        <v>617623.30000000005</v>
      </c>
      <c r="G173" s="61">
        <f t="shared" ref="G173:N173" si="101">SUM(G174:G178)</f>
        <v>617623.30000000005</v>
      </c>
      <c r="H173" s="61">
        <f t="shared" si="101"/>
        <v>98004.6</v>
      </c>
      <c r="I173" s="174">
        <f>H173/G173</f>
        <v>0.16</v>
      </c>
      <c r="J173" s="61">
        <f t="shared" si="101"/>
        <v>98004.6</v>
      </c>
      <c r="K173" s="174">
        <f>J173/G173</f>
        <v>0.16</v>
      </c>
      <c r="L173" s="61">
        <f t="shared" si="101"/>
        <v>617623.30000000005</v>
      </c>
      <c r="M173" s="61">
        <f t="shared" si="101"/>
        <v>0</v>
      </c>
      <c r="N173" s="61">
        <f t="shared" si="101"/>
        <v>0</v>
      </c>
      <c r="O173" s="61">
        <f>G173-J173</f>
        <v>519618.7</v>
      </c>
      <c r="P173" s="416" t="s">
        <v>210</v>
      </c>
      <c r="Q173" s="462"/>
    </row>
    <row r="174" spans="1:17" ht="48.75" customHeight="1" x14ac:dyDescent="0.4">
      <c r="A174" s="175"/>
      <c r="B174" s="385" t="s">
        <v>4</v>
      </c>
      <c r="C174" s="65" t="e">
        <f>#REF!</f>
        <v>#REF!</v>
      </c>
      <c r="D174" s="65" t="e">
        <f>#REF!</f>
        <v>#REF!</v>
      </c>
      <c r="E174" s="65" t="e">
        <f>#REF!</f>
        <v>#REF!</v>
      </c>
      <c r="F174" s="65"/>
      <c r="G174" s="65"/>
      <c r="H174" s="65"/>
      <c r="I174" s="74"/>
      <c r="J174" s="65"/>
      <c r="K174" s="74"/>
      <c r="L174" s="65"/>
      <c r="M174" s="74"/>
      <c r="N174" s="74"/>
      <c r="O174" s="61">
        <f t="shared" ref="O174" si="102">G174-J174</f>
        <v>0</v>
      </c>
      <c r="P174" s="416"/>
      <c r="Q174" s="462"/>
    </row>
    <row r="175" spans="1:17" x14ac:dyDescent="0.4">
      <c r="A175" s="175"/>
      <c r="B175" s="385" t="s">
        <v>16</v>
      </c>
      <c r="C175" s="65"/>
      <c r="D175" s="65"/>
      <c r="E175" s="65"/>
      <c r="F175" s="65">
        <v>583483.6</v>
      </c>
      <c r="G175" s="65">
        <f>583483.6</f>
        <v>583483.6</v>
      </c>
      <c r="H175" s="208">
        <f>J175</f>
        <v>85175.4</v>
      </c>
      <c r="I175" s="74">
        <f>H175/G175</f>
        <v>0.15</v>
      </c>
      <c r="J175" s="65">
        <v>85175.4</v>
      </c>
      <c r="K175" s="74">
        <f>J175/G175</f>
        <v>0.15</v>
      </c>
      <c r="L175" s="65">
        <f>243392.4+340091.2</f>
        <v>583483.6</v>
      </c>
      <c r="M175" s="74"/>
      <c r="N175" s="74"/>
      <c r="O175" s="147">
        <f>G175-L175</f>
        <v>0</v>
      </c>
      <c r="P175" s="416"/>
      <c r="Q175" s="462"/>
    </row>
    <row r="176" spans="1:17" x14ac:dyDescent="0.4">
      <c r="A176" s="175"/>
      <c r="B176" s="385" t="s">
        <v>11</v>
      </c>
      <c r="C176" s="65"/>
      <c r="D176" s="65"/>
      <c r="E176" s="65"/>
      <c r="F176" s="65">
        <f>34139.7-F177</f>
        <v>30090.02</v>
      </c>
      <c r="G176" s="65">
        <f>34139.7-G177</f>
        <v>30090.02</v>
      </c>
      <c r="H176" s="65">
        <f>J176</f>
        <v>12829.2</v>
      </c>
      <c r="I176" s="74">
        <f>H176/G176</f>
        <v>0.43</v>
      </c>
      <c r="J176" s="65">
        <v>12829.2</v>
      </c>
      <c r="K176" s="74">
        <f>J176/G176</f>
        <v>0.43</v>
      </c>
      <c r="L176" s="65">
        <f>16237.42+13852.6</f>
        <v>30090.02</v>
      </c>
      <c r="M176" s="74"/>
      <c r="N176" s="74"/>
      <c r="O176" s="147">
        <f t="shared" ref="O176:O177" si="103">G176-L176</f>
        <v>0</v>
      </c>
      <c r="P176" s="416"/>
      <c r="Q176" s="462"/>
    </row>
    <row r="177" spans="1:17" x14ac:dyDescent="0.4">
      <c r="A177" s="175"/>
      <c r="B177" s="385" t="s">
        <v>13</v>
      </c>
      <c r="C177" s="65"/>
      <c r="D177" s="65"/>
      <c r="E177" s="65"/>
      <c r="F177" s="65">
        <v>4049.68</v>
      </c>
      <c r="G177" s="65">
        <f>F177</f>
        <v>4049.68</v>
      </c>
      <c r="H177" s="65"/>
      <c r="I177" s="74"/>
      <c r="J177" s="65"/>
      <c r="K177" s="74"/>
      <c r="L177" s="65">
        <v>4049.68</v>
      </c>
      <c r="M177" s="74"/>
      <c r="N177" s="74"/>
      <c r="O177" s="147">
        <f t="shared" si="103"/>
        <v>0</v>
      </c>
      <c r="P177" s="416"/>
      <c r="Q177" s="462"/>
    </row>
    <row r="178" spans="1:17" x14ac:dyDescent="0.4">
      <c r="A178" s="175"/>
      <c r="B178" s="385" t="s">
        <v>5</v>
      </c>
      <c r="C178" s="65" t="e">
        <f>#REF!</f>
        <v>#REF!</v>
      </c>
      <c r="D178" s="65" t="e">
        <f>#REF!</f>
        <v>#REF!</v>
      </c>
      <c r="E178" s="65" t="e">
        <f>#REF!</f>
        <v>#REF!</v>
      </c>
      <c r="F178" s="65"/>
      <c r="G178" s="65"/>
      <c r="H178" s="65"/>
      <c r="I178" s="74"/>
      <c r="J178" s="65"/>
      <c r="K178" s="74"/>
      <c r="L178" s="65"/>
      <c r="M178" s="74"/>
      <c r="N178" s="74"/>
      <c r="O178" s="65"/>
      <c r="P178" s="416"/>
      <c r="Q178" s="462"/>
    </row>
    <row r="179" spans="1:17" s="331" customFormat="1" ht="90.75" customHeight="1" x14ac:dyDescent="0.25">
      <c r="A179" s="175" t="s">
        <v>31</v>
      </c>
      <c r="B179" s="388" t="s">
        <v>111</v>
      </c>
      <c r="C179" s="61" t="e">
        <f>#REF!+#REF!+#REF!+#REF!+#REF!</f>
        <v>#REF!</v>
      </c>
      <c r="D179" s="61" t="e">
        <f>#REF!+#REF!+#REF!+#REF!+#REF!</f>
        <v>#REF!</v>
      </c>
      <c r="E179" s="61" t="e">
        <f>#REF!+#REF!+#REF!+#REF!+#REF!</f>
        <v>#REF!</v>
      </c>
      <c r="F179" s="107"/>
      <c r="G179" s="107"/>
      <c r="H179" s="115"/>
      <c r="I179" s="133"/>
      <c r="J179" s="134"/>
      <c r="K179" s="133"/>
      <c r="L179" s="133"/>
      <c r="M179" s="70"/>
      <c r="N179" s="70"/>
      <c r="O179" s="70"/>
      <c r="P179" s="341" t="s">
        <v>124</v>
      </c>
      <c r="Q179" s="462"/>
    </row>
    <row r="180" spans="1:17" s="58" customFormat="1" ht="288.75" customHeight="1" x14ac:dyDescent="0.25">
      <c r="A180" s="175" t="s">
        <v>47</v>
      </c>
      <c r="B180" s="388" t="s">
        <v>202</v>
      </c>
      <c r="C180" s="61" t="e">
        <f>C181+C185+#REF!+#REF!+#REF!</f>
        <v>#REF!</v>
      </c>
      <c r="D180" s="61" t="e">
        <f>D181+D185+#REF!+#REF!+#REF!</f>
        <v>#REF!</v>
      </c>
      <c r="E180" s="61" t="e">
        <f>E181+E185+#REF!+#REF!+#REF!</f>
        <v>#REF!</v>
      </c>
      <c r="F180" s="61">
        <f>F181+F182+F183</f>
        <v>58377.41</v>
      </c>
      <c r="G180" s="61">
        <f t="shared" ref="G180:H180" si="104">G181+G182+G183</f>
        <v>132213.9</v>
      </c>
      <c r="H180" s="61">
        <f t="shared" si="104"/>
        <v>41016.120000000003</v>
      </c>
      <c r="I180" s="70"/>
      <c r="J180" s="61">
        <f>J181+J182+J183</f>
        <v>34601.65</v>
      </c>
      <c r="K180" s="70"/>
      <c r="L180" s="61">
        <f>L181+L182+L183</f>
        <v>108192.61</v>
      </c>
      <c r="M180" s="61">
        <f t="shared" ref="M180:N180" si="105">M181+M182+M183</f>
        <v>0</v>
      </c>
      <c r="N180" s="61">
        <f t="shared" si="105"/>
        <v>0</v>
      </c>
      <c r="O180" s="61">
        <f>O181+O182+O183</f>
        <v>24021.29</v>
      </c>
      <c r="P180" s="410" t="s">
        <v>223</v>
      </c>
      <c r="Q180" s="462"/>
    </row>
    <row r="181" spans="1:17" s="299" customFormat="1" ht="34.5" customHeight="1" x14ac:dyDescent="0.25">
      <c r="A181" s="343"/>
      <c r="B181" s="385" t="s">
        <v>4</v>
      </c>
      <c r="C181" s="65" t="e">
        <f>#REF!+#REF!</f>
        <v>#REF!</v>
      </c>
      <c r="D181" s="65" t="e">
        <f>#REF!+#REF!</f>
        <v>#REF!</v>
      </c>
      <c r="E181" s="65" t="e">
        <f>#REF!+#REF!</f>
        <v>#REF!</v>
      </c>
      <c r="F181" s="65"/>
      <c r="G181" s="65"/>
      <c r="H181" s="65"/>
      <c r="I181" s="74"/>
      <c r="J181" s="65"/>
      <c r="K181" s="74"/>
      <c r="L181" s="65"/>
      <c r="M181" s="65"/>
      <c r="N181" s="65"/>
      <c r="O181" s="65">
        <f>H181-L181</f>
        <v>0</v>
      </c>
      <c r="P181" s="411"/>
      <c r="Q181" s="462"/>
    </row>
    <row r="182" spans="1:17" s="299" customFormat="1" ht="34.5" customHeight="1" x14ac:dyDescent="0.25">
      <c r="A182" s="343"/>
      <c r="B182" s="385" t="s">
        <v>16</v>
      </c>
      <c r="C182" s="65"/>
      <c r="D182" s="65"/>
      <c r="E182" s="65"/>
      <c r="F182" s="65">
        <v>57382.9</v>
      </c>
      <c r="G182" s="65">
        <v>127527.6</v>
      </c>
      <c r="H182" s="65">
        <v>39360.199999999997</v>
      </c>
      <c r="I182" s="74">
        <f>H182/G182</f>
        <v>0.31</v>
      </c>
      <c r="J182" s="65">
        <v>32945.730000000003</v>
      </c>
      <c r="K182" s="74">
        <f>J182/G182</f>
        <v>0.26</v>
      </c>
      <c r="L182" s="208">
        <f>23906.4+46238.3+26909.12+6902.57</f>
        <v>103956.39</v>
      </c>
      <c r="M182" s="65"/>
      <c r="N182" s="65"/>
      <c r="O182" s="65">
        <f>G182-L182</f>
        <v>23571.21</v>
      </c>
      <c r="P182" s="411"/>
      <c r="Q182" s="462"/>
    </row>
    <row r="183" spans="1:17" s="299" customFormat="1" ht="34.5" customHeight="1" x14ac:dyDescent="0.25">
      <c r="A183" s="343"/>
      <c r="B183" s="385" t="s">
        <v>11</v>
      </c>
      <c r="C183" s="65"/>
      <c r="D183" s="65"/>
      <c r="E183" s="65"/>
      <c r="F183" s="65">
        <v>994.51</v>
      </c>
      <c r="G183" s="65">
        <v>4686.3</v>
      </c>
      <c r="H183" s="65">
        <f>J183</f>
        <v>1655.92</v>
      </c>
      <c r="I183" s="74">
        <f>H183/G183</f>
        <v>0.35</v>
      </c>
      <c r="J183" s="65">
        <v>1655.92</v>
      </c>
      <c r="K183" s="74">
        <f>J183/G183</f>
        <v>0.35</v>
      </c>
      <c r="L183" s="208">
        <f>318.65+225.78+3691.79</f>
        <v>4236.22</v>
      </c>
      <c r="M183" s="65"/>
      <c r="N183" s="65"/>
      <c r="O183" s="65">
        <f>G183-L183</f>
        <v>450.08</v>
      </c>
      <c r="P183" s="411"/>
      <c r="Q183" s="462"/>
    </row>
    <row r="184" spans="1:17" s="299" customFormat="1" ht="34.5" customHeight="1" x14ac:dyDescent="0.25">
      <c r="A184" s="343"/>
      <c r="B184" s="385" t="s">
        <v>13</v>
      </c>
      <c r="C184" s="65"/>
      <c r="D184" s="65"/>
      <c r="E184" s="65"/>
      <c r="F184" s="65"/>
      <c r="G184" s="65"/>
      <c r="H184" s="65"/>
      <c r="I184" s="74"/>
      <c r="J184" s="65"/>
      <c r="K184" s="74"/>
      <c r="L184" s="65"/>
      <c r="M184" s="65"/>
      <c r="N184" s="65"/>
      <c r="O184" s="65">
        <f>H184-L184</f>
        <v>0</v>
      </c>
      <c r="P184" s="411"/>
      <c r="Q184" s="462"/>
    </row>
    <row r="185" spans="1:17" s="299" customFormat="1" ht="291" customHeight="1" x14ac:dyDescent="0.25">
      <c r="A185" s="343"/>
      <c r="B185" s="385" t="s">
        <v>5</v>
      </c>
      <c r="C185" s="65"/>
      <c r="D185" s="65"/>
      <c r="E185" s="65"/>
      <c r="F185" s="65"/>
      <c r="G185" s="65"/>
      <c r="H185" s="65"/>
      <c r="I185" s="74"/>
      <c r="J185" s="65"/>
      <c r="K185" s="74"/>
      <c r="L185" s="65"/>
      <c r="M185" s="65"/>
      <c r="N185" s="65"/>
      <c r="O185" s="65">
        <f>H185-L185</f>
        <v>0</v>
      </c>
      <c r="P185" s="411"/>
      <c r="Q185" s="462"/>
    </row>
    <row r="186" spans="1:17" s="301" customFormat="1" ht="101.25" customHeight="1" x14ac:dyDescent="0.25">
      <c r="A186" s="175" t="s">
        <v>46</v>
      </c>
      <c r="B186" s="388" t="s">
        <v>113</v>
      </c>
      <c r="C186" s="61"/>
      <c r="D186" s="61"/>
      <c r="E186" s="61"/>
      <c r="F186" s="107"/>
      <c r="G186" s="107"/>
      <c r="H186" s="107"/>
      <c r="I186" s="108"/>
      <c r="J186" s="107"/>
      <c r="K186" s="108"/>
      <c r="L186" s="108"/>
      <c r="M186" s="70"/>
      <c r="N186" s="70"/>
      <c r="O186" s="70"/>
      <c r="P186" s="341" t="s">
        <v>124</v>
      </c>
    </row>
    <row r="187" spans="1:17" s="301" customFormat="1" ht="108.75" customHeight="1" x14ac:dyDescent="0.25">
      <c r="A187" s="175" t="s">
        <v>32</v>
      </c>
      <c r="B187" s="388" t="s">
        <v>114</v>
      </c>
      <c r="C187" s="61"/>
      <c r="D187" s="61"/>
      <c r="E187" s="61"/>
      <c r="F187" s="107"/>
      <c r="G187" s="107"/>
      <c r="H187" s="107"/>
      <c r="I187" s="108"/>
      <c r="J187" s="107"/>
      <c r="K187" s="108"/>
      <c r="L187" s="108"/>
      <c r="M187" s="70"/>
      <c r="N187" s="70"/>
      <c r="O187" s="70"/>
      <c r="P187" s="341" t="s">
        <v>124</v>
      </c>
    </row>
    <row r="188" spans="1:17" s="301" customFormat="1" ht="102" customHeight="1" x14ac:dyDescent="0.25">
      <c r="A188" s="175" t="s">
        <v>118</v>
      </c>
      <c r="B188" s="388" t="s">
        <v>115</v>
      </c>
      <c r="C188" s="61" t="e">
        <f>#REF!+#REF!+#REF!+#REF!+#REF!</f>
        <v>#REF!</v>
      </c>
      <c r="D188" s="61" t="e">
        <f>#REF!+#REF!+#REF!+#REF!+#REF!</f>
        <v>#REF!</v>
      </c>
      <c r="E188" s="61" t="e">
        <f>#REF!+#REF!+#REF!+#REF!+#REF!</f>
        <v>#REF!</v>
      </c>
      <c r="F188" s="107"/>
      <c r="G188" s="107"/>
      <c r="H188" s="115"/>
      <c r="I188" s="108"/>
      <c r="J188" s="107"/>
      <c r="K188" s="108"/>
      <c r="L188" s="108"/>
      <c r="M188" s="70"/>
      <c r="N188" s="70"/>
      <c r="O188" s="70"/>
      <c r="P188" s="341" t="s">
        <v>124</v>
      </c>
    </row>
    <row r="189" spans="1:17" ht="105.75" customHeight="1" x14ac:dyDescent="0.4">
      <c r="A189" s="175" t="s">
        <v>59</v>
      </c>
      <c r="B189" s="388" t="s">
        <v>116</v>
      </c>
      <c r="C189" s="61" t="e">
        <f>#REF!+#REF!+#REF!+#REF!+#REF!</f>
        <v>#REF!</v>
      </c>
      <c r="D189" s="61" t="e">
        <f>#REF!+#REF!+#REF!+#REF!+#REF!</f>
        <v>#REF!</v>
      </c>
      <c r="E189" s="61" t="e">
        <f>#REF!+#REF!+#REF!+#REF!+#REF!</f>
        <v>#REF!</v>
      </c>
      <c r="F189" s="107"/>
      <c r="G189" s="107"/>
      <c r="H189" s="115"/>
      <c r="I189" s="108"/>
      <c r="J189" s="107"/>
      <c r="K189" s="108"/>
      <c r="L189" s="108"/>
      <c r="M189" s="70"/>
      <c r="N189" s="70"/>
      <c r="O189" s="70"/>
      <c r="P189" s="341" t="s">
        <v>124</v>
      </c>
    </row>
    <row r="190" spans="1:17" ht="130.5" customHeight="1" x14ac:dyDescent="0.4">
      <c r="A190" s="175" t="s">
        <v>60</v>
      </c>
      <c r="B190" s="388" t="s">
        <v>117</v>
      </c>
      <c r="C190" s="61" t="e">
        <f>#REF!+#REF!+#REF!+#REF!+#REF!</f>
        <v>#REF!</v>
      </c>
      <c r="D190" s="61" t="e">
        <f>#REF!+#REF!+#REF!+#REF!+#REF!</f>
        <v>#REF!</v>
      </c>
      <c r="E190" s="61" t="e">
        <f>#REF!+#REF!+#REF!+#REF!+#REF!</f>
        <v>#REF!</v>
      </c>
      <c r="F190" s="107"/>
      <c r="G190" s="107"/>
      <c r="H190" s="115"/>
      <c r="I190" s="108"/>
      <c r="J190" s="107"/>
      <c r="K190" s="108"/>
      <c r="L190" s="108"/>
      <c r="M190" s="70"/>
      <c r="N190" s="70"/>
      <c r="O190" s="70"/>
      <c r="P190" s="341" t="s">
        <v>124</v>
      </c>
    </row>
    <row r="410" spans="12:15" x14ac:dyDescent="0.4">
      <c r="L410" s="40"/>
      <c r="M410" s="40"/>
      <c r="N410" s="40"/>
      <c r="O410" s="40"/>
    </row>
    <row r="411" spans="12:15" x14ac:dyDescent="0.4">
      <c r="L411" s="40"/>
      <c r="M411" s="40"/>
      <c r="N411" s="40"/>
      <c r="O411" s="40"/>
    </row>
    <row r="412" spans="12:15" x14ac:dyDescent="0.4">
      <c r="L412" s="40"/>
      <c r="M412" s="40"/>
      <c r="N412" s="40"/>
      <c r="O412" s="40"/>
    </row>
  </sheetData>
  <autoFilter ref="A7:P397"/>
  <customSheetViews>
    <customSheetView guid="{A0A3CD9B-2436-40D7-91DB-589A95FBBF00}" scale="40" showPageBreaks="1" outlineSymbols="0" zeroValues="0" fitToPage="1" printArea="1" showAutoFilter="1" hiddenColumns="1" view="pageBreakPreview" topLeftCell="G13">
      <selection activeCell="O27" sqref="O27"/>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9" scale="27" fitToHeight="0" orientation="landscape" r:id="rId1"/>
      <autoFilter ref="A7:P397"/>
    </customSheetView>
    <customSheetView guid="{67ADFAE6-A9AF-44D7-8539-93CD0F6B7849}" scale="40" showPageBreaks="1" outlineSymbols="0" zeroValues="0" fitToPage="1" printArea="1" showAutoFilter="1" hiddenColumns="1" view="pageBreakPreview" topLeftCell="A4">
      <pane xSplit="4" ySplit="7" topLeftCell="F24" activePane="bottomRight" state="frozen"/>
      <selection pane="bottomRight" activeCell="G34" sqref="G34"/>
      <rowBreaks count="31" manualBreakCount="31">
        <brk id="41" max="15" man="1"/>
        <brk id="109" max="15" man="1"/>
        <brk id="146" max="15"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39" fitToHeight="0" orientation="landscape" horizontalDpi="4294967293" r:id="rId2"/>
      <autoFilter ref="A7:P397"/>
    </customSheetView>
    <customSheetView guid="{BEA0FDBA-BB07-4C19-8BBD-5E57EE395C09}" scale="40" showPageBreaks="1" outlineSymbols="0" zeroValues="0" fitToPage="1" printArea="1" showAutoFilter="1" hiddenColumns="1" view="pageBreakPreview" topLeftCell="A4">
      <pane xSplit="4" ySplit="7" topLeftCell="K179" activePane="bottomRight" state="frozen"/>
      <selection pane="bottomRight" activeCell="O185" sqref="O185"/>
      <rowBreaks count="31" manualBreakCount="31">
        <brk id="120" max="15" man="1"/>
        <brk id="144" max="15" man="1"/>
        <brk id="165" max="15" man="1"/>
        <brk id="203" max="18"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9" scale="27" fitToHeight="0" orientation="landscape" r:id="rId3"/>
      <autoFilter ref="A7:P397"/>
    </customSheetView>
    <customSheetView guid="{7B245AB0-C2AF-4822-BFC4-2399F85856C1}" scale="40" showPageBreaks="1" outlineSymbols="0" zeroValues="0" fitToPage="1" printArea="1" showAutoFilter="1" hiddenColumns="1" view="pageBreakPreview" topLeftCell="A4">
      <pane xSplit="4" ySplit="7" topLeftCell="G45" activePane="bottomRight" state="frozen"/>
      <selection pane="bottomRight" activeCell="O50" sqref="O50"/>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39" fitToHeight="0" orientation="landscape" r:id="rId4"/>
      <autoFilter ref="A7:P397"/>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5"/>
      <autoFilter ref="A9:S1185"/>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6"/>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7"/>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8"/>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9"/>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0"/>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1"/>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2"/>
      <autoFilter ref="B1:T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3"/>
      <autoFilter ref="A9:T1142"/>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4"/>
      <autoFilter ref="A9:T1161"/>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5"/>
      <autoFilter ref="A9:S1185"/>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6"/>
      <autoFilter ref="A9:S1185"/>
    </customSheetView>
    <customSheetView guid="{998B8119-4FF3-4A16-838D-539C6AE34D55}" scale="40" showPageBreaks="1" outlineSymbols="0" zeroValues="0" fitToPage="1" printArea="1" showAutoFilter="1" hiddenColumns="1" view="pageBreakPreview" topLeftCell="A4">
      <pane xSplit="4" ySplit="7" topLeftCell="F47" activePane="bottomRight" state="frozen"/>
      <selection pane="bottomRight" activeCell="F48" sqref="F48:J48"/>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44" fitToHeight="0" orientation="landscape" r:id="rId17"/>
      <autoFilter ref="A7:P393"/>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8"/>
      <autoFilter ref="A7:P393"/>
    </customSheetView>
    <customSheetView guid="{45DE1976-7F07-4EB4-8A9C-FB72D060BEFA}" scale="40" showPageBreaks="1" outlineSymbols="0" zeroValues="0" fitToPage="1" printArea="1" showAutoFilter="1" hiddenColumns="1" view="pageBreakPreview" topLeftCell="A4">
      <pane xSplit="4" ySplit="7" topLeftCell="F56" activePane="bottomRight" state="frozen"/>
      <selection pane="bottomRight" activeCell="O60" sqref="O60:O64"/>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9"/>
      <autoFilter ref="A7:P393"/>
    </customSheetView>
    <customSheetView guid="{5FB953A5-71FF-4056-AF98-C9D06FF0EDF3}" scale="32" showPageBreaks="1" outlineSymbols="0" zeroValues="0" fitToPage="1" printArea="1" showAutoFilter="1" hiddenColumns="1" view="pageBreakPreview" topLeftCell="A4">
      <pane xSplit="4" ySplit="7" topLeftCell="F29" activePane="bottomRight" state="frozen"/>
      <selection pane="bottomRight" activeCell="L24" sqref="L24"/>
      <rowBreaks count="31" manualBreakCount="31">
        <brk id="41" max="15" man="1"/>
        <brk id="103" max="15" man="1"/>
        <brk id="139" max="15" man="1"/>
        <brk id="205" max="18" man="1"/>
        <brk id="1022" max="18" man="1"/>
        <brk id="1072" max="18" man="1"/>
        <brk id="1129" max="18" man="1"/>
        <brk id="1200" max="18" man="1"/>
        <brk id="1255" max="14" man="1"/>
        <brk id="1270" max="10" man="1"/>
        <brk id="1306" max="10" man="1"/>
        <brk id="1346" max="10" man="1"/>
        <brk id="1385" max="10" man="1"/>
        <brk id="1423" max="10" man="1"/>
        <brk id="1459" max="10" man="1"/>
        <brk id="1496" max="10" man="1"/>
        <brk id="1534" max="10" man="1"/>
        <brk id="1569" max="10" man="1"/>
        <brk id="1605" max="10" man="1"/>
        <brk id="1645" max="10" man="1"/>
        <brk id="1684" max="10" man="1"/>
        <brk id="1723" max="10" man="1"/>
        <brk id="1763" max="10" man="1"/>
        <brk id="1801" max="10" man="1"/>
        <brk id="1836" max="10" man="1"/>
        <brk id="1866" max="10" man="1"/>
        <brk id="1903" max="10" man="1"/>
        <brk id="1940" max="10" man="1"/>
        <brk id="1975" max="10" man="1"/>
        <brk id="2017" max="10" man="1"/>
        <brk id="2071" max="10" man="1"/>
      </rowBreaks>
      <pageMargins left="0" right="0" top="0.9055118110236221" bottom="0" header="0" footer="0"/>
      <printOptions horizontalCentered="1"/>
      <pageSetup paperSize="8" scale="27" fitToHeight="0" orientation="landscape" r:id="rId20"/>
      <autoFilter ref="A7:P397"/>
    </customSheetView>
    <customSheetView guid="{D95852A1-B0FC-4AC5-B62B-5CCBE05B0D15}" scale="40" showPageBreaks="1" outlineSymbols="0" zeroValues="0" fitToPage="1" printArea="1" showAutoFilter="1" hiddenColumns="1" view="pageBreakPreview" topLeftCell="A5">
      <pane xSplit="4" ySplit="4" topLeftCell="J24" activePane="bottomRight" state="frozen"/>
      <selection pane="bottomRight" activeCell="P28" sqref="P28:P34"/>
      <rowBreaks count="28" manualBreakCount="28">
        <brk id="32" max="15"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8" scale="27" fitToHeight="0" orientation="landscape" r:id="rId21"/>
      <autoFilter ref="A7:P397"/>
    </customSheetView>
  </customSheetViews>
  <mergeCells count="77">
    <mergeCell ref="O147:O148"/>
    <mergeCell ref="A147:A148"/>
    <mergeCell ref="B147:B148"/>
    <mergeCell ref="F147:F148"/>
    <mergeCell ref="G147:G148"/>
    <mergeCell ref="H147:H148"/>
    <mergeCell ref="I147:I148"/>
    <mergeCell ref="J147:J148"/>
    <mergeCell ref="K147:K148"/>
    <mergeCell ref="L147:L148"/>
    <mergeCell ref="I28:I29"/>
    <mergeCell ref="J28:J29"/>
    <mergeCell ref="K28:K29"/>
    <mergeCell ref="L28:L29"/>
    <mergeCell ref="O28:O29"/>
    <mergeCell ref="B28:B29"/>
    <mergeCell ref="A28:A29"/>
    <mergeCell ref="F28:F29"/>
    <mergeCell ref="G28:G29"/>
    <mergeCell ref="H28:H29"/>
    <mergeCell ref="I21:I22"/>
    <mergeCell ref="J21:J22"/>
    <mergeCell ref="K21:K22"/>
    <mergeCell ref="L21:L22"/>
    <mergeCell ref="O21:O22"/>
    <mergeCell ref="B21:B22"/>
    <mergeCell ref="A21:A22"/>
    <mergeCell ref="F21:F22"/>
    <mergeCell ref="G21:G22"/>
    <mergeCell ref="H21:H22"/>
    <mergeCell ref="P74:P79"/>
    <mergeCell ref="P80:P85"/>
    <mergeCell ref="A3:P3"/>
    <mergeCell ref="J6:K6"/>
    <mergeCell ref="A9:A14"/>
    <mergeCell ref="A5:A7"/>
    <mergeCell ref="H6:I6"/>
    <mergeCell ref="C5:C7"/>
    <mergeCell ref="G6:G7"/>
    <mergeCell ref="F5:G5"/>
    <mergeCell ref="E5:E7"/>
    <mergeCell ref="F6:F7"/>
    <mergeCell ref="B5:B7"/>
    <mergeCell ref="L5:L7"/>
    <mergeCell ref="O5:O7"/>
    <mergeCell ref="D5:D7"/>
    <mergeCell ref="P5:P7"/>
    <mergeCell ref="H5:K5"/>
    <mergeCell ref="P54:P59"/>
    <mergeCell ref="P128:P133"/>
    <mergeCell ref="P15:P20"/>
    <mergeCell ref="P36:P41"/>
    <mergeCell ref="P48:P53"/>
    <mergeCell ref="P21:P27"/>
    <mergeCell ref="P28:P34"/>
    <mergeCell ref="P42:P47"/>
    <mergeCell ref="P92:P97"/>
    <mergeCell ref="P98:P103"/>
    <mergeCell ref="P110:P115"/>
    <mergeCell ref="P116:P121"/>
    <mergeCell ref="P122:P127"/>
    <mergeCell ref="P68:P73"/>
    <mergeCell ref="P180:P185"/>
    <mergeCell ref="P147:P153"/>
    <mergeCell ref="A140:A146"/>
    <mergeCell ref="P140:P146"/>
    <mergeCell ref="P173:P178"/>
    <mergeCell ref="P166:P171"/>
    <mergeCell ref="B140:B141"/>
    <mergeCell ref="F140:F141"/>
    <mergeCell ref="G140:G141"/>
    <mergeCell ref="H140:H141"/>
    <mergeCell ref="I140:I141"/>
    <mergeCell ref="J140:J141"/>
    <mergeCell ref="K140:K141"/>
    <mergeCell ref="L140:L141"/>
    <mergeCell ref="O140:O141"/>
  </mergeCells>
  <phoneticPr fontId="4" type="noConversion"/>
  <printOptions horizontalCentered="1"/>
  <pageMargins left="0" right="0" top="0.9055118110236221" bottom="0" header="0" footer="0"/>
  <pageSetup paperSize="8" scale="39" fitToHeight="0" orientation="landscape" r:id="rId22"/>
  <rowBreaks count="30" manualBreakCount="30">
    <brk id="27" max="15" man="1"/>
    <brk id="41" max="15"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legacy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zoomScale="57" zoomScaleNormal="57" workbookViewId="0">
      <selection activeCell="M13" sqref="M13"/>
    </sheetView>
  </sheetViews>
  <sheetFormatPr defaultRowHeight="15.75" x14ac:dyDescent="0.25"/>
  <cols>
    <col min="1" max="1" width="4" customWidth="1"/>
    <col min="2" max="2" width="82.625" style="2" customWidth="1"/>
    <col min="3" max="3" width="21" style="22" customWidth="1"/>
    <col min="4" max="4" width="18.625" customWidth="1"/>
    <col min="5" max="6" width="17.75" customWidth="1"/>
    <col min="7" max="7" width="16.75" customWidth="1"/>
    <col min="8" max="8" width="17" customWidth="1"/>
    <col min="9" max="9" width="13" customWidth="1"/>
    <col min="10" max="10" width="14.875" customWidth="1"/>
    <col min="11" max="11" width="19.25" style="400" customWidth="1"/>
    <col min="12" max="14" width="15.125" style="26" bestFit="1" customWidth="1"/>
  </cols>
  <sheetData>
    <row r="1" spans="1:14" ht="22.5" customHeight="1" x14ac:dyDescent="0.25">
      <c r="A1" s="455" t="s">
        <v>128</v>
      </c>
      <c r="B1" s="455"/>
      <c r="C1" s="455"/>
      <c r="D1" s="455"/>
      <c r="E1" s="455"/>
      <c r="F1" s="455"/>
      <c r="G1" s="455"/>
      <c r="H1" s="455"/>
      <c r="I1" s="455"/>
      <c r="J1" s="455"/>
    </row>
    <row r="2" spans="1:14" x14ac:dyDescent="0.25">
      <c r="J2" s="9" t="s">
        <v>53</v>
      </c>
    </row>
    <row r="3" spans="1:14" ht="72" customHeight="1" x14ac:dyDescent="0.25">
      <c r="A3" s="1" t="s">
        <v>3</v>
      </c>
      <c r="B3" s="1" t="s">
        <v>33</v>
      </c>
      <c r="C3" s="23" t="s">
        <v>49</v>
      </c>
      <c r="D3" s="1" t="s">
        <v>43</v>
      </c>
      <c r="E3" s="3" t="s">
        <v>61</v>
      </c>
      <c r="F3" s="4" t="s">
        <v>62</v>
      </c>
      <c r="G3" s="5" t="s">
        <v>55</v>
      </c>
      <c r="H3" s="4" t="s">
        <v>50</v>
      </c>
      <c r="I3" s="4" t="s">
        <v>51</v>
      </c>
      <c r="J3" s="6" t="s">
        <v>2</v>
      </c>
    </row>
    <row r="4" spans="1:14" s="15" customFormat="1" ht="48" customHeight="1" x14ac:dyDescent="0.3">
      <c r="A4" s="10">
        <v>1</v>
      </c>
      <c r="B4" s="178" t="s">
        <v>73</v>
      </c>
      <c r="C4" s="20" t="s">
        <v>40</v>
      </c>
      <c r="D4" s="25" t="s">
        <v>44</v>
      </c>
      <c r="E4" s="13">
        <f>'на 01.08.2016'!F15</f>
        <v>206597.24</v>
      </c>
      <c r="F4" s="13">
        <f>'на 01.08.2016'!G15</f>
        <v>206597.24</v>
      </c>
      <c r="G4" s="13">
        <f>'на 01.08.2016'!H15</f>
        <v>132890.07999999999</v>
      </c>
      <c r="H4" s="13">
        <f>'на 01.08.2016'!J15</f>
        <v>132890.07999999999</v>
      </c>
      <c r="I4" s="13">
        <f>G4-H4</f>
        <v>0</v>
      </c>
      <c r="J4" s="14">
        <f>H4/F4</f>
        <v>0.64</v>
      </c>
      <c r="K4" s="180" t="s">
        <v>157</v>
      </c>
      <c r="L4" s="27" t="b">
        <f>F4='на 01.08.2016'!G15</f>
        <v>1</v>
      </c>
      <c r="M4" s="27" t="b">
        <f>G4='на 01.08.2016'!H15</f>
        <v>1</v>
      </c>
      <c r="N4" s="27" t="b">
        <f>H4='на 01.08.2016'!J15</f>
        <v>1</v>
      </c>
    </row>
    <row r="5" spans="1:14" s="15" customFormat="1" ht="45.75" customHeight="1" x14ac:dyDescent="0.3">
      <c r="A5" s="10">
        <v>2</v>
      </c>
      <c r="B5" s="11" t="s">
        <v>74</v>
      </c>
      <c r="C5" s="20" t="s">
        <v>39</v>
      </c>
      <c r="D5" s="16" t="s">
        <v>44</v>
      </c>
      <c r="E5" s="13">
        <f>'на 01.08.2016'!F21</f>
        <v>8412952.2300000004</v>
      </c>
      <c r="F5" s="13">
        <f>'на 01.08.2016'!G21</f>
        <v>8456240.4299999997</v>
      </c>
      <c r="G5" s="13">
        <f>'на 01.08.2016'!H21</f>
        <v>4931277</v>
      </c>
      <c r="H5" s="13">
        <f>'на 01.08.2016'!J21</f>
        <v>4888500.12</v>
      </c>
      <c r="I5" s="13">
        <f>G5-H5</f>
        <v>42776.88</v>
      </c>
      <c r="J5" s="14">
        <f>H5/F5</f>
        <v>0.57999999999999996</v>
      </c>
      <c r="K5" s="404" t="s">
        <v>207</v>
      </c>
      <c r="L5" s="27" t="b">
        <f>F5='на 01.08.2016'!G21</f>
        <v>1</v>
      </c>
      <c r="M5" s="27" t="b">
        <f>G5='на 01.08.2016'!H21</f>
        <v>1</v>
      </c>
      <c r="N5" s="27" t="b">
        <f>H5='на 01.08.2016'!J21</f>
        <v>1</v>
      </c>
    </row>
    <row r="6" spans="1:14" s="15" customFormat="1" ht="45.75" customHeight="1" x14ac:dyDescent="0.3">
      <c r="A6" s="10">
        <v>3</v>
      </c>
      <c r="B6" s="11" t="s">
        <v>75</v>
      </c>
      <c r="C6" s="20" t="s">
        <v>40</v>
      </c>
      <c r="D6" s="16" t="s">
        <v>44</v>
      </c>
      <c r="E6" s="13">
        <f>'на 01.08.2016'!F28</f>
        <v>371677.98</v>
      </c>
      <c r="F6" s="13">
        <f>'на 01.08.2016'!G28</f>
        <v>371677.98</v>
      </c>
      <c r="G6" s="13">
        <f>'на 01.08.2016'!H28</f>
        <v>222049.03</v>
      </c>
      <c r="H6" s="13">
        <f>'на 01.08.2016'!J28</f>
        <v>162242.04</v>
      </c>
      <c r="I6" s="13">
        <f>G6-H6</f>
        <v>59806.99</v>
      </c>
      <c r="J6" s="14">
        <f>H6/F6</f>
        <v>0.44</v>
      </c>
      <c r="K6" s="403" t="s">
        <v>206</v>
      </c>
      <c r="L6" s="27" t="b">
        <f>F6='на 01.08.2016'!G28</f>
        <v>1</v>
      </c>
      <c r="M6" s="27" t="b">
        <f>G6='на 01.08.2016'!H28</f>
        <v>1</v>
      </c>
      <c r="N6" s="27" t="b">
        <f>H6='на 01.08.2016'!J28</f>
        <v>1</v>
      </c>
    </row>
    <row r="7" spans="1:14" s="15" customFormat="1" ht="45.75" customHeight="1" x14ac:dyDescent="0.3">
      <c r="A7" s="10">
        <v>4</v>
      </c>
      <c r="B7" s="178" t="s">
        <v>76</v>
      </c>
      <c r="C7" s="20" t="s">
        <v>40</v>
      </c>
      <c r="D7" s="12" t="s">
        <v>45</v>
      </c>
      <c r="E7" s="457"/>
      <c r="F7" s="457"/>
      <c r="G7" s="457"/>
      <c r="H7" s="457"/>
      <c r="I7" s="457"/>
      <c r="J7" s="457"/>
      <c r="K7" s="180" t="s">
        <v>157</v>
      </c>
      <c r="L7" s="27"/>
      <c r="M7" s="27"/>
      <c r="N7" s="27"/>
    </row>
    <row r="8" spans="1:14" s="15" customFormat="1" ht="45.75" customHeight="1" x14ac:dyDescent="0.3">
      <c r="A8" s="10">
        <v>5</v>
      </c>
      <c r="B8" s="11" t="s">
        <v>77</v>
      </c>
      <c r="C8" s="20" t="s">
        <v>35</v>
      </c>
      <c r="D8" s="16" t="s">
        <v>44</v>
      </c>
      <c r="E8" s="13">
        <f>'на 01.08.2016'!F36</f>
        <v>174321.68</v>
      </c>
      <c r="F8" s="13">
        <f>'на 01.08.2016'!G36</f>
        <v>174307.38</v>
      </c>
      <c r="G8" s="13">
        <f>'на 01.08.2016'!H36</f>
        <v>127090.79</v>
      </c>
      <c r="H8" s="13">
        <f>'на 01.08.2016'!J36</f>
        <v>123808.29</v>
      </c>
      <c r="I8" s="13">
        <f>G8-H8</f>
        <v>3282.5</v>
      </c>
      <c r="J8" s="14">
        <f>H8/F8</f>
        <v>0.71</v>
      </c>
      <c r="K8" s="404" t="s">
        <v>207</v>
      </c>
      <c r="L8" s="27" t="b">
        <f>F8='на 01.08.2016'!G36</f>
        <v>1</v>
      </c>
      <c r="M8" s="27" t="b">
        <f>G8='на 01.08.2016'!H36</f>
        <v>1</v>
      </c>
      <c r="N8" s="27" t="b">
        <f>H8='на 01.08.2016'!J36</f>
        <v>1</v>
      </c>
    </row>
    <row r="9" spans="1:14" s="15" customFormat="1" ht="45.75" customHeight="1" x14ac:dyDescent="0.3">
      <c r="A9" s="10">
        <v>6</v>
      </c>
      <c r="B9" s="11" t="s">
        <v>78</v>
      </c>
      <c r="C9" s="20" t="s">
        <v>35</v>
      </c>
      <c r="D9" s="16" t="s">
        <v>44</v>
      </c>
      <c r="E9" s="13">
        <f>'на 01.08.2016'!F42</f>
        <v>273262.64</v>
      </c>
      <c r="F9" s="13">
        <f>'на 01.08.2016'!G42</f>
        <v>273915.15000000002</v>
      </c>
      <c r="G9" s="13">
        <f>'на 01.08.2016'!H42</f>
        <v>0</v>
      </c>
      <c r="H9" s="13">
        <f>'на 01.08.2016'!J42</f>
        <v>0</v>
      </c>
      <c r="I9" s="13">
        <f>G9-H9</f>
        <v>0</v>
      </c>
      <c r="J9" s="14">
        <f>H9/F9</f>
        <v>0</v>
      </c>
      <c r="K9" s="404" t="s">
        <v>207</v>
      </c>
      <c r="L9" s="27" t="b">
        <f>F9='на 01.08.2016'!G42</f>
        <v>1</v>
      </c>
      <c r="M9" s="27" t="b">
        <f>G9='на 01.08.2016'!H42</f>
        <v>1</v>
      </c>
      <c r="N9" s="27" t="b">
        <f>H9='на 01.08.2016'!J42</f>
        <v>1</v>
      </c>
    </row>
    <row r="10" spans="1:14" s="15" customFormat="1" ht="45.75" customHeight="1" x14ac:dyDescent="0.3">
      <c r="A10" s="10">
        <v>7</v>
      </c>
      <c r="B10" s="11" t="s">
        <v>79</v>
      </c>
      <c r="C10" s="20" t="s">
        <v>34</v>
      </c>
      <c r="D10" s="12" t="s">
        <v>44</v>
      </c>
      <c r="E10" s="13">
        <f>'на 01.08.2016'!F48</f>
        <v>8804.68</v>
      </c>
      <c r="F10" s="13">
        <f>'на 01.08.2016'!G48</f>
        <v>8804.68</v>
      </c>
      <c r="G10" s="12">
        <f>'на 01.08.2016'!H48</f>
        <v>4683.34</v>
      </c>
      <c r="H10" s="13">
        <f>'на 01.08.2016'!J48</f>
        <v>4362.6899999999996</v>
      </c>
      <c r="I10" s="13">
        <f>G10-H10</f>
        <v>320.64999999999998</v>
      </c>
      <c r="J10" s="14">
        <f>H10/F10</f>
        <v>0.5</v>
      </c>
      <c r="K10" s="404" t="s">
        <v>207</v>
      </c>
      <c r="L10" s="27" t="b">
        <f>F10='на 01.08.2016'!G48</f>
        <v>1</v>
      </c>
      <c r="M10" s="27" t="b">
        <f>G10='на 01.08.2016'!H48</f>
        <v>1</v>
      </c>
      <c r="N10" s="27" t="b">
        <f>H10='на 01.08.2016'!J48</f>
        <v>1</v>
      </c>
    </row>
    <row r="11" spans="1:14" s="15" customFormat="1" ht="60.75" x14ac:dyDescent="0.3">
      <c r="A11" s="10">
        <v>8</v>
      </c>
      <c r="B11" s="178" t="s">
        <v>80</v>
      </c>
      <c r="C11" s="20" t="s">
        <v>81</v>
      </c>
      <c r="D11" s="12" t="s">
        <v>44</v>
      </c>
      <c r="E11" s="13">
        <f>'на 01.08.2016'!F54</f>
        <v>14754.16</v>
      </c>
      <c r="F11" s="13">
        <f>'на 01.08.2016'!G54</f>
        <v>14754.16</v>
      </c>
      <c r="G11" s="13">
        <f>'на 01.08.2016'!H54</f>
        <v>4885.3100000000004</v>
      </c>
      <c r="H11" s="13">
        <f>'на 01.08.2016'!J54</f>
        <v>4756.01</v>
      </c>
      <c r="I11" s="13">
        <f>G11-H11</f>
        <v>129.30000000000001</v>
      </c>
      <c r="J11" s="14">
        <f>H11/F11</f>
        <v>0.32</v>
      </c>
      <c r="K11" s="180" t="s">
        <v>157</v>
      </c>
      <c r="L11" s="27" t="b">
        <f>F11='на 01.08.2016'!G54</f>
        <v>1</v>
      </c>
      <c r="M11" s="27" t="b">
        <f>G11='на 01.08.2016'!H54</f>
        <v>1</v>
      </c>
      <c r="N11" s="27" t="b">
        <f>H11='на 01.08.2016'!J54</f>
        <v>1</v>
      </c>
    </row>
    <row r="12" spans="1:14" s="15" customFormat="1" ht="40.5" x14ac:dyDescent="0.3">
      <c r="A12" s="10">
        <v>9</v>
      </c>
      <c r="B12" s="11" t="s">
        <v>82</v>
      </c>
      <c r="C12" s="20"/>
      <c r="D12" s="12" t="s">
        <v>45</v>
      </c>
      <c r="E12" s="457"/>
      <c r="F12" s="457"/>
      <c r="G12" s="457"/>
      <c r="H12" s="457"/>
      <c r="I12" s="457"/>
      <c r="J12" s="457"/>
      <c r="K12" s="401"/>
      <c r="L12" s="27"/>
      <c r="M12" s="27"/>
      <c r="N12" s="27"/>
    </row>
    <row r="13" spans="1:14" s="15" customFormat="1" ht="60.75" x14ac:dyDescent="0.3">
      <c r="A13" s="10">
        <v>10</v>
      </c>
      <c r="B13" s="11" t="s">
        <v>83</v>
      </c>
      <c r="C13" s="20"/>
      <c r="D13" s="21" t="s">
        <v>45</v>
      </c>
      <c r="E13" s="457"/>
      <c r="F13" s="457"/>
      <c r="G13" s="457"/>
      <c r="H13" s="457"/>
      <c r="I13" s="457"/>
      <c r="J13" s="457"/>
      <c r="K13" s="401"/>
      <c r="L13" s="27"/>
      <c r="M13" s="27"/>
      <c r="N13" s="27"/>
    </row>
    <row r="14" spans="1:14" s="15" customFormat="1" ht="40.5" x14ac:dyDescent="0.3">
      <c r="A14" s="17">
        <v>11</v>
      </c>
      <c r="B14" s="179" t="s">
        <v>84</v>
      </c>
      <c r="C14" s="20" t="s">
        <v>42</v>
      </c>
      <c r="D14" s="12" t="s">
        <v>44</v>
      </c>
      <c r="E14" s="13" t="e">
        <f>'на 01.08.2016'!#REF!</f>
        <v>#REF!</v>
      </c>
      <c r="F14" s="13" t="e">
        <f>'на 01.08.2016'!#REF!</f>
        <v>#REF!</v>
      </c>
      <c r="G14" s="13" t="e">
        <f>'на 01.08.2016'!#REF!</f>
        <v>#REF!</v>
      </c>
      <c r="H14" s="13" t="e">
        <f>'на 01.08.2016'!#REF!</f>
        <v>#REF!</v>
      </c>
      <c r="I14" s="13" t="e">
        <f>G14-H14</f>
        <v>#REF!</v>
      </c>
      <c r="J14" s="14" t="e">
        <f>H14/F14</f>
        <v>#REF!</v>
      </c>
      <c r="K14" s="180" t="s">
        <v>157</v>
      </c>
      <c r="L14" s="27" t="e">
        <f>F14='на 01.08.2016'!#REF!</f>
        <v>#REF!</v>
      </c>
      <c r="M14" s="27" t="e">
        <f>G14='на 01.08.2016'!#REF!</f>
        <v>#REF!</v>
      </c>
      <c r="N14" s="27" t="e">
        <f>H14='на 01.08.2016'!#REF!</f>
        <v>#REF!</v>
      </c>
    </row>
    <row r="15" spans="1:14" s="15" customFormat="1" ht="60.75" x14ac:dyDescent="0.3">
      <c r="A15" s="10">
        <v>12</v>
      </c>
      <c r="B15" s="178" t="s">
        <v>85</v>
      </c>
      <c r="C15" s="20" t="s">
        <v>38</v>
      </c>
      <c r="D15" s="12" t="s">
        <v>44</v>
      </c>
      <c r="E15" s="13">
        <f>'на 01.08.2016'!F140</f>
        <v>193006.53</v>
      </c>
      <c r="F15" s="13">
        <f>'на 01.08.2016'!G140</f>
        <v>270569.03000000003</v>
      </c>
      <c r="G15" s="13">
        <f>'на 01.08.2016'!H140</f>
        <v>62844.57</v>
      </c>
      <c r="H15" s="13">
        <f>'на 01.08.2016'!J140</f>
        <v>56042.77</v>
      </c>
      <c r="I15" s="13">
        <f>G15-H15</f>
        <v>6801.8</v>
      </c>
      <c r="J15" s="14">
        <f>H15/F15</f>
        <v>0.21</v>
      </c>
      <c r="K15" s="180" t="s">
        <v>157</v>
      </c>
      <c r="L15" s="27" t="b">
        <f>F15='на 01.08.2016'!G140</f>
        <v>1</v>
      </c>
      <c r="M15" s="27" t="b">
        <f>G15='на 01.08.2016'!H140</f>
        <v>1</v>
      </c>
      <c r="N15" s="27" t="b">
        <f>H15='на 01.08.2016'!J140</f>
        <v>1</v>
      </c>
    </row>
    <row r="16" spans="1:14" s="15" customFormat="1" ht="128.25" customHeight="1" x14ac:dyDescent="0.3">
      <c r="A16" s="10">
        <v>13</v>
      </c>
      <c r="B16" s="11" t="s">
        <v>87</v>
      </c>
      <c r="C16" s="20" t="s">
        <v>86</v>
      </c>
      <c r="D16" s="12" t="s">
        <v>44</v>
      </c>
      <c r="E16" s="13">
        <f>'на 01.08.2016'!F147</f>
        <v>60370.879999999997</v>
      </c>
      <c r="F16" s="13">
        <f>'на 01.08.2016'!G147</f>
        <v>61670.879999999997</v>
      </c>
      <c r="G16" s="13">
        <f>'на 01.08.2016'!H147</f>
        <v>41889.769999999997</v>
      </c>
      <c r="H16" s="13">
        <f>'на 01.08.2016'!J147</f>
        <v>36363.07</v>
      </c>
      <c r="I16" s="13">
        <f t="shared" ref="I16" si="0">G16-H16</f>
        <v>5526.7</v>
      </c>
      <c r="J16" s="14">
        <f>H16/F16</f>
        <v>0.59</v>
      </c>
      <c r="K16" s="403" t="s">
        <v>206</v>
      </c>
      <c r="L16" s="27" t="b">
        <f>F16='на 01.08.2016'!G147</f>
        <v>1</v>
      </c>
      <c r="M16" s="27" t="b">
        <f>G16='на 01.08.2016'!H147</f>
        <v>1</v>
      </c>
      <c r="N16" s="27" t="b">
        <f>H16='на 01.08.2016'!J147</f>
        <v>1</v>
      </c>
    </row>
    <row r="17" spans="1:14" s="15" customFormat="1" ht="60.75" x14ac:dyDescent="0.3">
      <c r="A17" s="10">
        <v>14</v>
      </c>
      <c r="B17" s="11" t="s">
        <v>88</v>
      </c>
      <c r="C17" s="20" t="s">
        <v>37</v>
      </c>
      <c r="D17" s="24" t="s">
        <v>45</v>
      </c>
      <c r="E17" s="459"/>
      <c r="F17" s="460"/>
      <c r="G17" s="460"/>
      <c r="H17" s="460"/>
      <c r="I17" s="460"/>
      <c r="J17" s="461"/>
      <c r="K17" s="401" t="b">
        <f>E17='на 01.08.2016'!F154</f>
        <v>1</v>
      </c>
      <c r="L17" s="27" t="b">
        <f>F17='на 01.08.2016'!G154</f>
        <v>1</v>
      </c>
      <c r="M17" s="27" t="b">
        <f>G17='на 01.08.2016'!H154</f>
        <v>1</v>
      </c>
      <c r="N17" s="27" t="b">
        <f>H17='на 01.08.2016'!J154</f>
        <v>1</v>
      </c>
    </row>
    <row r="18" spans="1:14" s="15" customFormat="1" ht="40.5" x14ac:dyDescent="0.3">
      <c r="A18" s="10">
        <v>15</v>
      </c>
      <c r="B18" s="11" t="s">
        <v>89</v>
      </c>
      <c r="C18" s="20" t="s">
        <v>41</v>
      </c>
      <c r="D18" s="21" t="s">
        <v>45</v>
      </c>
      <c r="E18" s="457"/>
      <c r="F18" s="457"/>
      <c r="G18" s="457"/>
      <c r="H18" s="457"/>
      <c r="I18" s="457"/>
      <c r="J18" s="457"/>
      <c r="K18" s="401"/>
      <c r="L18" s="27"/>
      <c r="M18" s="27"/>
      <c r="N18" s="27"/>
    </row>
    <row r="19" spans="1:14" s="15" customFormat="1" ht="60.75" x14ac:dyDescent="0.3">
      <c r="A19" s="10">
        <v>16</v>
      </c>
      <c r="B19" s="11" t="s">
        <v>90</v>
      </c>
      <c r="C19" s="20" t="s">
        <v>34</v>
      </c>
      <c r="D19" s="12" t="s">
        <v>44</v>
      </c>
      <c r="E19" s="13">
        <f>'на 01.08.2016'!F166</f>
        <v>142882.93</v>
      </c>
      <c r="F19" s="13">
        <f>'на 01.08.2016'!G166</f>
        <v>142882.93</v>
      </c>
      <c r="G19" s="13">
        <f>'на 01.08.2016'!H166</f>
        <v>125638.25</v>
      </c>
      <c r="H19" s="13">
        <f>'на 01.08.2016'!J166</f>
        <v>100932.23</v>
      </c>
      <c r="I19" s="13">
        <f>G19-H19</f>
        <v>24706.02</v>
      </c>
      <c r="J19" s="14">
        <f>H19/F19</f>
        <v>0.71</v>
      </c>
      <c r="K19" s="403" t="s">
        <v>206</v>
      </c>
      <c r="L19" s="27" t="b">
        <f>F19='на 01.08.2016'!G166</f>
        <v>1</v>
      </c>
      <c r="M19" s="27" t="b">
        <f>G19='на 01.08.2016'!H166</f>
        <v>1</v>
      </c>
      <c r="N19" s="27" t="b">
        <f>H19='на 01.08.2016'!J166</f>
        <v>1</v>
      </c>
    </row>
    <row r="20" spans="1:14" s="15" customFormat="1" ht="40.5" x14ac:dyDescent="0.3">
      <c r="A20" s="10">
        <v>17</v>
      </c>
      <c r="B20" s="11" t="s">
        <v>91</v>
      </c>
      <c r="C20" s="20"/>
      <c r="D20" s="12" t="s">
        <v>45</v>
      </c>
      <c r="E20" s="457"/>
      <c r="F20" s="457"/>
      <c r="G20" s="457"/>
      <c r="H20" s="457"/>
      <c r="I20" s="457"/>
      <c r="J20" s="457"/>
      <c r="K20" s="401"/>
      <c r="L20" s="27"/>
      <c r="M20" s="27"/>
      <c r="N20" s="27"/>
    </row>
    <row r="21" spans="1:14" s="15" customFormat="1" ht="40.5" x14ac:dyDescent="0.3">
      <c r="A21" s="10">
        <v>18</v>
      </c>
      <c r="B21" s="178" t="s">
        <v>92</v>
      </c>
      <c r="C21" s="20" t="s">
        <v>42</v>
      </c>
      <c r="D21" s="16" t="s">
        <v>44</v>
      </c>
      <c r="E21" s="13">
        <f>'на 01.08.2016'!F173</f>
        <v>617623.30000000005</v>
      </c>
      <c r="F21" s="13">
        <f>'на 01.08.2016'!G173</f>
        <v>617623.30000000005</v>
      </c>
      <c r="G21" s="13">
        <f>'на 01.08.2016'!H173</f>
        <v>98004.6</v>
      </c>
      <c r="H21" s="13">
        <f>'на 01.08.2016'!J173</f>
        <v>98004.6</v>
      </c>
      <c r="I21" s="13">
        <f>G21-H21</f>
        <v>0</v>
      </c>
      <c r="J21" s="14">
        <f>H21/F21</f>
        <v>0.16</v>
      </c>
      <c r="K21" s="180" t="s">
        <v>157</v>
      </c>
      <c r="L21" s="27" t="b">
        <f>F21='на 01.08.2016'!G173</f>
        <v>1</v>
      </c>
      <c r="M21" s="27" t="b">
        <f>G21='на 01.08.2016'!H173</f>
        <v>1</v>
      </c>
      <c r="N21" s="27" t="b">
        <f>H21='на 01.08.2016'!J173</f>
        <v>1</v>
      </c>
    </row>
    <row r="22" spans="1:14" s="15" customFormat="1" ht="40.5" x14ac:dyDescent="0.3">
      <c r="A22" s="10">
        <v>19</v>
      </c>
      <c r="B22" s="11" t="s">
        <v>93</v>
      </c>
      <c r="C22" s="20"/>
      <c r="D22" s="12" t="s">
        <v>45</v>
      </c>
      <c r="E22" s="457"/>
      <c r="F22" s="457"/>
      <c r="G22" s="457"/>
      <c r="H22" s="457"/>
      <c r="I22" s="457"/>
      <c r="J22" s="457"/>
      <c r="K22" s="401"/>
      <c r="L22" s="27"/>
      <c r="M22" s="27"/>
      <c r="N22" s="27"/>
    </row>
    <row r="23" spans="1:14" s="15" customFormat="1" ht="81" x14ac:dyDescent="0.3">
      <c r="A23" s="10">
        <v>20</v>
      </c>
      <c r="B23" s="11" t="s">
        <v>94</v>
      </c>
      <c r="C23" s="20" t="s">
        <v>63</v>
      </c>
      <c r="D23" s="16" t="s">
        <v>44</v>
      </c>
      <c r="E23" s="13">
        <f>'на 01.08.2016'!F180</f>
        <v>58377.41</v>
      </c>
      <c r="F23" s="13">
        <f>'на 01.08.2016'!G180</f>
        <v>132213.9</v>
      </c>
      <c r="G23" s="13">
        <f>'на 01.08.2016'!H180</f>
        <v>41016.120000000003</v>
      </c>
      <c r="H23" s="13">
        <f>'на 01.08.2016'!J180</f>
        <v>34601.65</v>
      </c>
      <c r="I23" s="13">
        <f>G23-H23</f>
        <v>6414.47</v>
      </c>
      <c r="J23" s="14">
        <f>H23/F23</f>
        <v>0.26</v>
      </c>
      <c r="K23" s="404" t="s">
        <v>207</v>
      </c>
      <c r="L23" s="27" t="b">
        <f>F23='на 01.08.2016'!G180</f>
        <v>1</v>
      </c>
      <c r="M23" s="27" t="b">
        <f>G23='на 01.08.2016'!H180</f>
        <v>1</v>
      </c>
      <c r="N23" s="27" t="b">
        <f>H23='на 01.08.2016'!J180</f>
        <v>1</v>
      </c>
    </row>
    <row r="24" spans="1:14" s="15" customFormat="1" ht="40.5" x14ac:dyDescent="0.3">
      <c r="A24" s="10">
        <v>21</v>
      </c>
      <c r="B24" s="11" t="s">
        <v>95</v>
      </c>
      <c r="C24" s="20" t="s">
        <v>36</v>
      </c>
      <c r="D24" s="19" t="s">
        <v>45</v>
      </c>
      <c r="E24" s="456"/>
      <c r="F24" s="456"/>
      <c r="G24" s="456"/>
      <c r="H24" s="456"/>
      <c r="I24" s="456"/>
      <c r="J24" s="456"/>
      <c r="K24" s="402"/>
      <c r="L24" s="28"/>
      <c r="M24" s="28"/>
      <c r="N24" s="28"/>
    </row>
    <row r="25" spans="1:14" s="15" customFormat="1" ht="40.5" x14ac:dyDescent="0.3">
      <c r="A25" s="10">
        <v>22</v>
      </c>
      <c r="B25" s="11" t="s">
        <v>96</v>
      </c>
      <c r="C25" s="20" t="s">
        <v>81</v>
      </c>
      <c r="D25" s="21" t="s">
        <v>45</v>
      </c>
      <c r="E25" s="457"/>
      <c r="F25" s="457"/>
      <c r="G25" s="457"/>
      <c r="H25" s="457"/>
      <c r="I25" s="457"/>
      <c r="J25" s="457"/>
      <c r="K25" s="402"/>
      <c r="L25" s="28"/>
      <c r="M25" s="28"/>
      <c r="N25" s="28"/>
    </row>
    <row r="26" spans="1:14" s="15" customFormat="1" ht="40.5" x14ac:dyDescent="0.3">
      <c r="A26" s="10">
        <v>23</v>
      </c>
      <c r="B26" s="11" t="s">
        <v>97</v>
      </c>
      <c r="C26" s="20"/>
      <c r="D26" s="12" t="s">
        <v>45</v>
      </c>
      <c r="E26" s="457"/>
      <c r="F26" s="457"/>
      <c r="G26" s="457"/>
      <c r="H26" s="457"/>
      <c r="I26" s="457"/>
      <c r="J26" s="457"/>
      <c r="K26" s="402"/>
      <c r="L26" s="28"/>
      <c r="M26" s="28"/>
      <c r="N26" s="28"/>
    </row>
    <row r="27" spans="1:14" s="15" customFormat="1" ht="60.75" x14ac:dyDescent="0.3">
      <c r="A27" s="10">
        <v>24</v>
      </c>
      <c r="B27" s="11" t="s">
        <v>120</v>
      </c>
      <c r="C27" s="20"/>
      <c r="D27" s="21" t="s">
        <v>45</v>
      </c>
      <c r="E27" s="457"/>
      <c r="F27" s="457"/>
      <c r="G27" s="457"/>
      <c r="H27" s="457"/>
      <c r="I27" s="457"/>
      <c r="J27" s="457"/>
      <c r="K27" s="402"/>
      <c r="L27" s="28"/>
      <c r="M27" s="28"/>
      <c r="N27" s="28"/>
    </row>
    <row r="28" spans="1:14" s="15" customFormat="1" ht="60.75" x14ac:dyDescent="0.3">
      <c r="A28" s="10">
        <v>25</v>
      </c>
      <c r="B28" s="11" t="s">
        <v>98</v>
      </c>
      <c r="C28" s="20"/>
      <c r="D28" s="21" t="s">
        <v>45</v>
      </c>
      <c r="E28" s="457"/>
      <c r="F28" s="457"/>
      <c r="G28" s="457"/>
      <c r="H28" s="457"/>
      <c r="I28" s="457"/>
      <c r="J28" s="457"/>
      <c r="K28" s="402"/>
      <c r="L28" s="28"/>
      <c r="M28" s="28"/>
      <c r="N28" s="28"/>
    </row>
    <row r="29" spans="1:14" s="15" customFormat="1" ht="81" x14ac:dyDescent="0.3">
      <c r="A29" s="10">
        <v>26</v>
      </c>
      <c r="B29" s="32" t="s">
        <v>121</v>
      </c>
      <c r="C29" s="20"/>
      <c r="D29" s="31"/>
      <c r="E29" s="13" t="e">
        <f>'на 01.08.2016'!#REF!</f>
        <v>#REF!</v>
      </c>
      <c r="F29" s="13" t="e">
        <f>'на 01.08.2016'!#REF!</f>
        <v>#REF!</v>
      </c>
      <c r="G29" s="13" t="e">
        <f>'на 01.08.2016'!#REF!</f>
        <v>#REF!</v>
      </c>
      <c r="H29" s="13" t="e">
        <f>'на 01.08.2016'!#REF!</f>
        <v>#REF!</v>
      </c>
      <c r="I29" s="13" t="e">
        <f>G29-H29</f>
        <v>#REF!</v>
      </c>
      <c r="J29" s="14" t="e">
        <f>H29/F29</f>
        <v>#REF!</v>
      </c>
      <c r="K29" s="403" t="s">
        <v>206</v>
      </c>
      <c r="L29" s="28"/>
      <c r="M29" s="28"/>
      <c r="N29" s="28"/>
    </row>
    <row r="30" spans="1:14" ht="139.5" customHeight="1" x14ac:dyDescent="0.3">
      <c r="A30" s="458" t="s">
        <v>119</v>
      </c>
      <c r="B30" s="458"/>
      <c r="C30" s="458"/>
      <c r="D30" s="18" t="s">
        <v>52</v>
      </c>
      <c r="E30" s="7" t="e">
        <f>E4+E5+E6+E8+E9+E10+E11+E14+E15+E16+E17+E19+E21+E23+перечень!E29</f>
        <v>#REF!</v>
      </c>
      <c r="F30" s="7" t="e">
        <f>F4+F5+F6+F8+F9+F10+F11+F14+F15+F16+F17+F19+F21+F23+перечень!F29</f>
        <v>#REF!</v>
      </c>
      <c r="G30" s="7" t="e">
        <f>G4+G5+G6+G8+G9+G10+G11+G14+G15+G16+G17+G19+G21+G23+перечень!G29</f>
        <v>#REF!</v>
      </c>
      <c r="H30" s="7" t="e">
        <f>H4+H5+H6+H8+H9+H10+H11+H14+H15+H16+H17+H19+H21+H23+перечень!H29</f>
        <v>#REF!</v>
      </c>
      <c r="I30" s="7" t="e">
        <f>I4+I5+I6+I8+I9+I10+I11+I14+I15+I16+I17+I19+I21+I23+перечень!I29</f>
        <v>#REF!</v>
      </c>
      <c r="J30" s="8" t="e">
        <f>H30/F30</f>
        <v>#REF!</v>
      </c>
      <c r="L30" s="28"/>
    </row>
    <row r="36" spans="2:10" x14ac:dyDescent="0.25">
      <c r="B36"/>
      <c r="E36" s="26" t="e">
        <f>E30='на 01.08.2016'!F9</f>
        <v>#REF!</v>
      </c>
      <c r="F36" s="26" t="e">
        <f>F30='на 01.08.2016'!G9</f>
        <v>#REF!</v>
      </c>
      <c r="G36" s="26" t="e">
        <f>G30='на 01.08.2016'!H9</f>
        <v>#REF!</v>
      </c>
      <c r="H36" s="26" t="e">
        <f>H30='на 01.08.2016'!J9</f>
        <v>#REF!</v>
      </c>
      <c r="I36" s="29" t="e">
        <f>'на 01.08.2016'!H9-'на 01.08.2016'!J9=перечень!I30</f>
        <v>#REF!</v>
      </c>
      <c r="J36" s="26" t="e">
        <f>J30='на 01.08.2016'!K9</f>
        <v>#REF!</v>
      </c>
    </row>
  </sheetData>
  <autoFilter ref="A3:D30"/>
  <customSheetViews>
    <customSheetView guid="{A0A3CD9B-2436-40D7-91DB-589A95FBBF00}" scale="57" showPageBreaks="1" fitToPage="1" printArea="1" showAutoFilter="1">
      <selection activeCell="M13" sqref="M13"/>
      <pageMargins left="1.1023622047244095" right="0.70866141732283472" top="0.74803149606299213" bottom="0.74803149606299213" header="0.31496062992125984" footer="0.31496062992125984"/>
      <pageSetup paperSize="9" scale="52" fitToHeight="0" orientation="landscape" r:id="rId1"/>
      <autoFilter ref="A3:D30"/>
    </customSheetView>
    <customSheetView guid="{67ADFAE6-A9AF-44D7-8539-93CD0F6B7849}" scale="57" showPageBreaks="1" fitToPage="1" printArea="1" showAutoFilter="1">
      <selection activeCell="B16" sqref="B16"/>
      <pageMargins left="1.1023622047244095" right="0.70866141732283472" top="0.74803149606299213" bottom="0.74803149606299213" header="0.31496062992125984" footer="0.31496062992125984"/>
      <pageSetup paperSize="9" scale="52" fitToHeight="0" orientation="landscape" r:id="rId2"/>
      <autoFilter ref="A3:D30"/>
    </customSheetView>
    <customSheetView guid="{BEA0FDBA-BB07-4C19-8BBD-5E57EE395C09}" scale="57" showPageBreaks="1" fitToPage="1" printArea="1" showAutoFilter="1" topLeftCell="A8">
      <selection activeCell="E11" sqref="E11"/>
      <pageMargins left="1.1023622047244095" right="0.70866141732283472" top="0.74803149606299213" bottom="0.74803149606299213" header="0.31496062992125984" footer="0.31496062992125984"/>
      <pageSetup paperSize="9" scale="52" fitToHeight="0" orientation="landscape" r:id="rId3"/>
      <autoFilter ref="A3:D30"/>
    </customSheetView>
    <customSheetView guid="{7B245AB0-C2AF-4822-BFC4-2399F85856C1}" scale="57" showPageBreaks="1" fitToPage="1" printArea="1" showAutoFilter="1" topLeftCell="A8">
      <selection activeCell="E11" sqref="E11"/>
      <pageMargins left="1.1023622047244095" right="0.70866141732283472" top="0.74803149606299213" bottom="0.74803149606299213" header="0.31496062992125984" footer="0.31496062992125984"/>
      <pageSetup paperSize="9" scale="52" fitToHeight="0" orientation="landscape" r:id="rId4"/>
      <autoFilter ref="A3:D30"/>
    </customSheetView>
    <customSheetView guid="{2F7AC811-CA37-46E3-866E-6E10DF43054A}" scale="57" showPageBreaks="1" fitToPage="1" printArea="1" showAutoFilter="1" topLeftCell="A7">
      <selection activeCell="B44" sqref="B44"/>
      <pageMargins left="1.1023622047244095" right="0.70866141732283472" top="0.74803149606299213" bottom="0.74803149606299213" header="0.31496062992125984" footer="0.31496062992125984"/>
      <pageSetup paperSize="8" scale="78" fitToHeight="0" orientation="landscape" r:id="rId5"/>
      <autoFilter ref="A3:D29"/>
    </customSheetView>
    <customSheetView guid="{CB1A56DC-A135-41E6-8A02-AE4E518C879F}" scale="57" showPageBreaks="1" fitToPage="1" printArea="1" showAutoFilter="1" topLeftCell="A13">
      <selection activeCell="B22" sqref="B22"/>
      <pageMargins left="1.1023622047244095" right="0.70866141732283472" top="0.74803149606299213" bottom="0.74803149606299213" header="0.31496062992125984" footer="0.31496062992125984"/>
      <pageSetup paperSize="8" scale="78" fitToHeight="0" orientation="landscape" r:id="rId6"/>
      <autoFilter ref="A3:D29"/>
    </customSheetView>
    <customSheetView guid="{F2110B0B-AAE7-42F0-B553-C360E9249AD4}" scale="57" showPageBreaks="1" fitToPage="1" printArea="1" showAutoFilter="1">
      <selection activeCell="G6" sqref="G6"/>
      <pageMargins left="1.1023622047244095" right="0.70866141732283472" top="0.74803149606299213" bottom="0.74803149606299213" header="0.31496062992125984" footer="0.31496062992125984"/>
      <pageSetup paperSize="8" scale="78" fitToHeight="0" orientation="landscape" r:id="rId7"/>
      <autoFilter ref="A3:D29"/>
    </customSheetView>
    <customSheetView guid="{D7BC8E82-4392-4806-9DAE-D94253790B9C}" scale="57" showPageBreaks="1" fitToPage="1" printArea="1" showAutoFilter="1">
      <selection activeCell="G6" sqref="G6"/>
      <pageMargins left="1.1023622047244095" right="0.70866141732283472" top="0.74803149606299213" bottom="0.74803149606299213" header="0.31496062992125984" footer="0.31496062992125984"/>
      <pageSetup paperSize="8" scale="78" fitToHeight="0" orientation="landscape" r:id="rId8"/>
      <autoFilter ref="A3:D29"/>
    </customSheetView>
    <customSheetView guid="{A6B98527-7CBF-4E4D-BDEA-9334A3EB779F}" scale="57" showPageBreaks="1" fitToPage="1" printArea="1" showAutoFilter="1">
      <selection activeCell="C4" sqref="C4:D11"/>
      <pageMargins left="1.1023622047244095" right="0.70866141732283472" top="0.74803149606299213" bottom="0.74803149606299213" header="0.31496062992125984" footer="0.31496062992125984"/>
      <pageSetup paperSize="8" scale="78" fitToHeight="0" orientation="landscape" r:id="rId9"/>
      <autoFilter ref="A3:D29"/>
    </customSheetView>
    <customSheetView guid="{D20DFCFE-63F9-4265-B37B-4F36C46DF159}" scale="57" showPageBreaks="1" fitToPage="1" printArea="1" showAutoFilter="1" topLeftCell="A7">
      <selection activeCell="B23" sqref="B23"/>
      <pageMargins left="1.1023622047244095" right="0.70866141732283472" top="0.74803149606299213" bottom="0.74803149606299213" header="0.31496062992125984" footer="0.31496062992125984"/>
      <pageSetup paperSize="8" scale="78" fitToHeight="0" orientation="landscape" r:id="rId10"/>
      <autoFilter ref="A3:D29"/>
    </customSheetView>
    <customSheetView guid="{998B8119-4FF3-4A16-838D-539C6AE34D55}" scale="57" showPageBreaks="1" fitToPage="1" printArea="1" showAutoFilter="1" topLeftCell="A8">
      <selection activeCell="E11" sqref="E11"/>
      <pageMargins left="1.1023622047244095" right="0.70866141732283472" top="0.74803149606299213" bottom="0.74803149606299213" header="0.31496062992125984" footer="0.31496062992125984"/>
      <pageSetup paperSize="9" scale="52" fitToHeight="0" orientation="landscape" r:id="rId11"/>
      <autoFilter ref="A3:D30"/>
    </customSheetView>
    <customSheetView guid="{539CB3DF-9B66-4BE7-9074-8CE0405EB8A6}" scale="57" showPageBreaks="1" fitToPage="1" printArea="1" showAutoFilter="1">
      <selection activeCell="E11" sqref="E11"/>
      <pageMargins left="1.1023622047244095" right="0.70866141732283472" top="0.74803149606299213" bottom="0.74803149606299213" header="0.31496062992125984" footer="0.31496062992125984"/>
      <pageSetup paperSize="9" scale="52" fitToHeight="0" orientation="landscape" r:id="rId12"/>
      <autoFilter ref="A3:D30"/>
    </customSheetView>
    <customSheetView guid="{45DE1976-7F07-4EB4-8A9C-FB72D060BEFA}" scale="57" fitToPage="1" showAutoFilter="1">
      <selection activeCell="B16" sqref="B16"/>
      <pageMargins left="1.1023622047244095" right="0.70866141732283472" top="0.74803149606299213" bottom="0.74803149606299213" header="0.31496062992125984" footer="0.31496062992125984"/>
      <pageSetup paperSize="9" scale="52" fitToHeight="0" orientation="landscape" r:id="rId13"/>
      <autoFilter ref="A3:D30"/>
    </customSheetView>
    <customSheetView guid="{5FB953A5-71FF-4056-AF98-C9D06FF0EDF3}" scale="60" showPageBreaks="1" fitToPage="1" printArea="1" showAutoFilter="1" view="pageBreakPreview" topLeftCell="A4">
      <selection activeCell="L8" sqref="L8"/>
      <pageMargins left="1.1023622047244095" right="0.70866141732283472" top="0.74803149606299213" bottom="0.74803149606299213" header="0.31496062992125984" footer="0.31496062992125984"/>
      <pageSetup paperSize="9" scale="48" fitToHeight="0" orientation="landscape" r:id="rId14"/>
      <autoFilter ref="A3:D30"/>
    </customSheetView>
    <customSheetView guid="{D95852A1-B0FC-4AC5-B62B-5CCBE05B0D15}" scale="57" showPageBreaks="1" fitToPage="1" printArea="1" showAutoFilter="1" topLeftCell="A8">
      <selection activeCell="E11" sqref="E11"/>
      <pageMargins left="1.1023622047244095" right="0.70866141732283472" top="0.74803149606299213" bottom="0.74803149606299213" header="0.31496062992125984" footer="0.31496062992125984"/>
      <pageSetup paperSize="9" scale="52" fitToHeight="0" orientation="landscape" r:id="rId15"/>
      <autoFilter ref="A3:D30"/>
    </customSheetView>
  </customSheetViews>
  <mergeCells count="14">
    <mergeCell ref="A1:J1"/>
    <mergeCell ref="E24:J24"/>
    <mergeCell ref="E7:J7"/>
    <mergeCell ref="A30:C30"/>
    <mergeCell ref="E12:J12"/>
    <mergeCell ref="E20:J20"/>
    <mergeCell ref="E22:J22"/>
    <mergeCell ref="E26:J26"/>
    <mergeCell ref="E13:J13"/>
    <mergeCell ref="E27:J27"/>
    <mergeCell ref="E28:J28"/>
    <mergeCell ref="E18:J18"/>
    <mergeCell ref="E25:J25"/>
    <mergeCell ref="E17:J17"/>
  </mergeCells>
  <pageMargins left="1.1023622047244095" right="0.70866141732283472" top="0.74803149606299213" bottom="0.74803149606299213" header="0.31496062992125984" footer="0.31496062992125984"/>
  <pageSetup paperSize="9" scale="52" fitToHeight="0" orientation="landscape" r:id="rId1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08"/>
  <sheetViews>
    <sheetView zoomScale="42" zoomScaleNormal="42" workbookViewId="0">
      <selection activeCell="B2" sqref="B2"/>
    </sheetView>
  </sheetViews>
  <sheetFormatPr defaultRowHeight="26.25" outlineLevelRow="1" outlineLevelCol="2" x14ac:dyDescent="0.4"/>
  <cols>
    <col min="1" max="1" width="16" style="139" customWidth="1"/>
    <col min="2" max="2" width="77" style="40" customWidth="1"/>
    <col min="3" max="3" width="25.25" style="40" hidden="1" customWidth="1"/>
    <col min="4" max="4" width="22.5" style="40" hidden="1" customWidth="1"/>
    <col min="5" max="5" width="24.125" style="40" hidden="1" customWidth="1"/>
    <col min="6" max="6" width="26.375" style="140" customWidth="1"/>
    <col min="7" max="7" width="25.125" style="140" customWidth="1"/>
    <col min="8" max="8" width="22.625" style="141" customWidth="1" outlineLevel="2"/>
    <col min="9" max="9" width="19.75" style="142" customWidth="1" outlineLevel="2"/>
    <col min="10" max="10" width="24.25" style="140" customWidth="1" outlineLevel="2"/>
    <col min="11" max="11" width="22.625" style="142" customWidth="1" outlineLevel="2"/>
    <col min="12" max="12" width="24.125" style="143" customWidth="1" outlineLevel="2"/>
    <col min="13" max="14" width="23.75" style="143" hidden="1" customWidth="1" outlineLevel="2"/>
    <col min="15" max="15" width="23.75" style="143" customWidth="1" outlineLevel="2"/>
    <col min="16" max="16" width="149.125" style="82" customWidth="1"/>
    <col min="17" max="17" width="32.5" style="40" customWidth="1"/>
    <col min="18" max="18" width="19.625" style="40" customWidth="1"/>
    <col min="19" max="19" width="15.75" style="40" customWidth="1"/>
    <col min="20" max="80" width="9" style="40" customWidth="1"/>
    <col min="81" max="16384" width="9" style="40"/>
  </cols>
  <sheetData>
    <row r="1" spans="1:17" ht="30.75" x14ac:dyDescent="0.45">
      <c r="A1" s="34"/>
      <c r="B1" s="35"/>
      <c r="C1" s="35"/>
      <c r="D1" s="35"/>
      <c r="E1" s="35"/>
      <c r="F1" s="36"/>
      <c r="G1" s="36"/>
      <c r="H1" s="37"/>
      <c r="I1" s="38"/>
      <c r="J1" s="36"/>
      <c r="K1" s="38"/>
      <c r="L1" s="39"/>
      <c r="M1" s="39"/>
      <c r="N1" s="39"/>
      <c r="O1" s="39"/>
      <c r="P1" s="33" t="s">
        <v>125</v>
      </c>
    </row>
    <row r="2" spans="1:17" ht="30.75" x14ac:dyDescent="0.45">
      <c r="A2" s="34"/>
      <c r="B2" s="35"/>
      <c r="C2" s="35"/>
      <c r="D2" s="35"/>
      <c r="E2" s="35"/>
      <c r="F2" s="36"/>
      <c r="G2" s="36"/>
      <c r="H2" s="37"/>
      <c r="I2" s="38"/>
      <c r="J2" s="36"/>
      <c r="K2" s="38"/>
      <c r="L2" s="39"/>
      <c r="M2" s="39"/>
      <c r="N2" s="39"/>
      <c r="O2" s="39"/>
      <c r="P2" s="33" t="s">
        <v>126</v>
      </c>
    </row>
    <row r="3" spans="1:17" ht="409.5" x14ac:dyDescent="0.4">
      <c r="A3" s="259" t="s">
        <v>129</v>
      </c>
      <c r="B3"/>
      <c r="C3"/>
      <c r="D3"/>
      <c r="E3"/>
      <c r="F3"/>
      <c r="G3"/>
      <c r="H3"/>
      <c r="I3"/>
      <c r="J3"/>
      <c r="K3"/>
      <c r="L3"/>
      <c r="M3"/>
      <c r="N3"/>
      <c r="O3"/>
      <c r="P3"/>
    </row>
    <row r="4" spans="1:17" s="35" customFormat="1" x14ac:dyDescent="0.4">
      <c r="A4" s="41"/>
      <c r="B4" s="42"/>
      <c r="C4" s="41"/>
      <c r="D4" s="41"/>
      <c r="E4" s="41"/>
      <c r="F4" s="42"/>
      <c r="G4" s="42"/>
      <c r="H4" s="42"/>
      <c r="I4" s="42"/>
      <c r="J4" s="42"/>
      <c r="K4" s="43"/>
      <c r="L4" s="44"/>
      <c r="M4" s="45"/>
      <c r="N4" s="45"/>
      <c r="O4" s="45"/>
      <c r="P4" s="30" t="s">
        <v>54</v>
      </c>
    </row>
    <row r="5" spans="1:17" s="46" customFormat="1" ht="72.75" customHeight="1" x14ac:dyDescent="0.25">
      <c r="A5" s="261" t="s">
        <v>3</v>
      </c>
      <c r="B5" s="261" t="s">
        <v>8</v>
      </c>
      <c r="C5" s="262" t="s">
        <v>17</v>
      </c>
      <c r="D5" s="262" t="s">
        <v>18</v>
      </c>
      <c r="E5" s="262" t="s">
        <v>19</v>
      </c>
      <c r="F5" s="264" t="s">
        <v>127</v>
      </c>
      <c r="G5"/>
      <c r="H5" s="269" t="s">
        <v>161</v>
      </c>
      <c r="I5"/>
      <c r="J5"/>
      <c r="K5"/>
      <c r="L5" s="266" t="s">
        <v>66</v>
      </c>
      <c r="M5" s="266"/>
      <c r="N5" s="266"/>
      <c r="O5" s="266" t="s">
        <v>123</v>
      </c>
      <c r="P5" s="261" t="s">
        <v>122</v>
      </c>
    </row>
    <row r="6" spans="1:17" s="46" customFormat="1" ht="69.75" customHeight="1" x14ac:dyDescent="0.25">
      <c r="A6"/>
      <c r="B6"/>
      <c r="C6"/>
      <c r="D6"/>
      <c r="E6"/>
      <c r="F6" s="265" t="s">
        <v>64</v>
      </c>
      <c r="G6" s="262" t="s">
        <v>65</v>
      </c>
      <c r="H6" s="260" t="s">
        <v>7</v>
      </c>
      <c r="I6"/>
      <c r="J6" s="260" t="s">
        <v>6</v>
      </c>
      <c r="K6"/>
      <c r="L6"/>
      <c r="M6" s="267"/>
      <c r="N6" s="267"/>
      <c r="O6"/>
      <c r="P6"/>
    </row>
    <row r="7" spans="1:17" s="46" customFormat="1" ht="105" x14ac:dyDescent="0.25">
      <c r="A7"/>
      <c r="B7"/>
      <c r="C7"/>
      <c r="D7"/>
      <c r="E7"/>
      <c r="F7"/>
      <c r="G7"/>
      <c r="H7" s="47" t="s">
        <v>0</v>
      </c>
      <c r="I7" s="48" t="s">
        <v>12</v>
      </c>
      <c r="J7" s="49" t="s">
        <v>9</v>
      </c>
      <c r="K7" s="50" t="s">
        <v>2</v>
      </c>
      <c r="L7"/>
      <c r="M7" s="268"/>
      <c r="N7" s="268"/>
      <c r="O7"/>
      <c r="P7"/>
    </row>
    <row r="8" spans="1:17" s="58" customFormat="1" x14ac:dyDescent="0.25">
      <c r="A8" s="51">
        <v>1</v>
      </c>
      <c r="B8" s="51">
        <v>2</v>
      </c>
      <c r="C8" s="52">
        <v>4</v>
      </c>
      <c r="D8" s="53">
        <v>5</v>
      </c>
      <c r="E8" s="53">
        <v>6</v>
      </c>
      <c r="F8" s="52">
        <v>3</v>
      </c>
      <c r="G8" s="53">
        <v>4</v>
      </c>
      <c r="H8" s="54">
        <v>5</v>
      </c>
      <c r="I8" s="52">
        <v>6</v>
      </c>
      <c r="J8" s="52">
        <v>7</v>
      </c>
      <c r="K8" s="55">
        <v>8</v>
      </c>
      <c r="L8" s="56">
        <v>9</v>
      </c>
      <c r="M8" s="57"/>
      <c r="N8" s="57"/>
      <c r="O8" s="57">
        <v>10</v>
      </c>
      <c r="P8" s="56">
        <v>11</v>
      </c>
    </row>
    <row r="9" spans="1:17" s="63" customFormat="1" ht="76.5" x14ac:dyDescent="0.25">
      <c r="A9" s="261"/>
      <c r="B9" s="59" t="s">
        <v>48</v>
      </c>
      <c r="C9" s="60" t="e">
        <f>C10+C11+#REF!+C14</f>
        <v>#REF!</v>
      </c>
      <c r="D9" s="60" t="e">
        <f>D10+D11+#REF!+D14</f>
        <v>#REF!</v>
      </c>
      <c r="E9" s="60" t="e">
        <f>E10+E11+#REF!+#REF!+E14</f>
        <v>#REF!</v>
      </c>
      <c r="F9" s="60">
        <f>SUM(F10:F14)</f>
        <v>11681240.58</v>
      </c>
      <c r="G9" s="60">
        <f t="shared" ref="G9:O9" si="0">SUM(G10:G14)</f>
        <v>12186700.01</v>
      </c>
      <c r="H9" s="60">
        <f>SUM(H10:H14)</f>
        <v>6213428.6600000001</v>
      </c>
      <c r="I9" s="60">
        <f>H9/G9*100</f>
        <v>50.99</v>
      </c>
      <c r="J9" s="60">
        <f t="shared" si="0"/>
        <v>6054432.8399999999</v>
      </c>
      <c r="K9" s="60">
        <f>J9/G9*100</f>
        <v>49.68</v>
      </c>
      <c r="L9" s="60">
        <f t="shared" si="0"/>
        <v>10526351.300000001</v>
      </c>
      <c r="M9" s="60">
        <f t="shared" si="0"/>
        <v>1611089</v>
      </c>
      <c r="N9" s="60">
        <f t="shared" si="0"/>
        <v>0</v>
      </c>
      <c r="O9" s="60">
        <f t="shared" si="0"/>
        <v>65977.83</v>
      </c>
      <c r="P9" s="62"/>
      <c r="Q9" s="61" t="e">
        <f>O15+O21+O27+O33+O34+O40+O46+O52+O58+O59+#REF!+O138+O144+O150+O156+O162+O168+O169+O175+O176+O182+O183+O184+O185+O186+#REF!</f>
        <v>#REF!</v>
      </c>
    </row>
    <row r="10" spans="1:17" s="67" customFormat="1" x14ac:dyDescent="0.25">
      <c r="A10"/>
      <c r="B10" s="64" t="s">
        <v>4</v>
      </c>
      <c r="C10" s="60" t="e">
        <f>#REF!+#REF!+#REF!+#REF!+#REF!+#REF!+#REF!+#REF!+#REF!+#REF!+#REF!+#REF!+#REF!+#REF!+#REF!+#REF!+#REF!+#REF!+#REF!+#REF!+#REF!+#REF!</f>
        <v>#REF!</v>
      </c>
      <c r="D10" s="60" t="e">
        <f>#REF!+#REF!+#REF!+#REF!+#REF!+#REF!+#REF!+#REF!+#REF!+#REF!+#REF!+#REF!+#REF!+#REF!+#REF!+#REF!+#REF!+#REF!+#REF!+#REF!+#REF!+#REF!</f>
        <v>#REF!</v>
      </c>
      <c r="E10" s="60" t="e">
        <f>#REF!+#REF!+#REF!+#REF!+#REF!+#REF!+#REF!+#REF!+#REF!+#REF!+#REF!+#REF!+#REF!+#REF!+#REF!+#REF!+#REF!+#REF!+#REF!+#REF!+#REF!+#REF!</f>
        <v>#REF!</v>
      </c>
      <c r="F10" s="60">
        <f t="shared" ref="F10:O14" si="1">F16+F22+F28+F35+F41+F47+F53+F61+F139+F145+F163+F170+F177</f>
        <v>33969.800000000003</v>
      </c>
      <c r="G10" s="60">
        <f t="shared" si="1"/>
        <v>37428.83</v>
      </c>
      <c r="H10" s="60">
        <f t="shared" si="1"/>
        <v>25139.38</v>
      </c>
      <c r="I10" s="60">
        <f t="shared" ref="I10:I14" si="2">H10/G10*100</f>
        <v>67.17</v>
      </c>
      <c r="J10" s="60">
        <f t="shared" si="1"/>
        <v>14992.68</v>
      </c>
      <c r="K10" s="60">
        <f t="shared" ref="K10:K14" si="3">J10/G10*100</f>
        <v>40.06</v>
      </c>
      <c r="L10" s="60">
        <f t="shared" si="1"/>
        <v>30432.7</v>
      </c>
      <c r="M10" s="60">
        <f t="shared" si="1"/>
        <v>17057.03</v>
      </c>
      <c r="N10" s="60">
        <f t="shared" si="1"/>
        <v>0</v>
      </c>
      <c r="O10" s="60">
        <f t="shared" si="1"/>
        <v>1</v>
      </c>
      <c r="P10" s="66"/>
    </row>
    <row r="11" spans="1:17" s="67" customFormat="1" x14ac:dyDescent="0.25">
      <c r="A11"/>
      <c r="B11" s="64" t="s">
        <v>16</v>
      </c>
      <c r="C11" s="60" t="e">
        <f>C41++C20+#REF!+#REF!+#REF!+#REF!+#REF!+#REF!+#REF!+#REF!+#REF!+#REF!+#REF!+#REF!+#REF!+#REF!+#REF!+#REF!+#REF!+#REF!+#REF!+#REF!</f>
        <v>#REF!</v>
      </c>
      <c r="D11" s="60" t="e">
        <f>D41++D20+#REF!+#REF!+#REF!+#REF!+#REF!+#REF!+#REF!+#REF!+#REF!+#REF!+#REF!+#REF!+#REF!+#REF!+#REF!+#REF!+#REF!+#REF!+#REF!+#REF!</f>
        <v>#REF!</v>
      </c>
      <c r="E11" s="60" t="e">
        <f>E41++E20+#REF!+#REF!+#REF!+#REF!+#REF!+#REF!+#REF!+#REF!+#REF!+#REF!+#REF!+#REF!+#REF!+#REF!+#REF!+#REF!+#REF!+#REF!+#REF!+#REF!</f>
        <v>#REF!</v>
      </c>
      <c r="F11" s="60">
        <f t="shared" si="1"/>
        <v>11202062.84</v>
      </c>
      <c r="G11" s="60">
        <f t="shared" si="1"/>
        <v>11700330.880000001</v>
      </c>
      <c r="H11" s="60">
        <f t="shared" si="1"/>
        <v>6009607.96</v>
      </c>
      <c r="I11" s="60">
        <f t="shared" si="2"/>
        <v>51.36</v>
      </c>
      <c r="J11" s="60">
        <f t="shared" si="1"/>
        <v>5857998.6799999997</v>
      </c>
      <c r="K11" s="60">
        <f t="shared" si="3"/>
        <v>50.07</v>
      </c>
      <c r="L11" s="60">
        <f t="shared" si="1"/>
        <v>10204743.970000001</v>
      </c>
      <c r="M11" s="60">
        <f t="shared" si="1"/>
        <v>1437380.31</v>
      </c>
      <c r="N11" s="60">
        <f t="shared" si="1"/>
        <v>0</v>
      </c>
      <c r="O11" s="60">
        <f t="shared" si="1"/>
        <v>64407.32</v>
      </c>
      <c r="P11" s="66"/>
    </row>
    <row r="12" spans="1:17" s="67" customFormat="1" x14ac:dyDescent="0.25">
      <c r="A12"/>
      <c r="B12" s="64" t="s">
        <v>11</v>
      </c>
      <c r="C12" s="60" t="e">
        <f>#REF!+#REF!+#REF!+#REF!+#REF!+#REF!+#REF!+#REF!+#REF!+#REF!+#REF!+#REF!+#REF!+#REF!+#REF!+#REF!+#REF!+#REF!+C44+#REF!+#REF!+#REF!+#REF!</f>
        <v>#REF!</v>
      </c>
      <c r="D12" s="60" t="e">
        <f>#REF!+#REF!+#REF!+#REF!+#REF!+#REF!+#REF!+#REF!+#REF!+#REF!+#REF!+#REF!+#REF!+#REF!+#REF!+#REF!+#REF!+#REF!+D44+#REF!+#REF!+#REF!+#REF!</f>
        <v>#REF!</v>
      </c>
      <c r="E12" s="60" t="e">
        <f>#REF!+#REF!+#REF!+#REF!+#REF!+#REF!+#REF!+#REF!+#REF!+#REF!+#REF!+#REF!+#REF!+#REF!+#REF!+#REF!+#REF!+#REF!+E44+#REF!+#REF!+#REF!+#REF!</f>
        <v>#REF!</v>
      </c>
      <c r="F12" s="60">
        <f t="shared" si="1"/>
        <v>305011.38</v>
      </c>
      <c r="G12" s="60">
        <f t="shared" si="1"/>
        <v>308856.77</v>
      </c>
      <c r="H12" s="60">
        <f t="shared" si="1"/>
        <v>146481.51</v>
      </c>
      <c r="I12" s="60">
        <f t="shared" si="2"/>
        <v>47.43</v>
      </c>
      <c r="J12" s="60">
        <f t="shared" si="1"/>
        <v>149241.67000000001</v>
      </c>
      <c r="K12" s="60">
        <f t="shared" si="3"/>
        <v>48.32</v>
      </c>
      <c r="L12" s="60">
        <f t="shared" si="1"/>
        <v>153964.20000000001</v>
      </c>
      <c r="M12" s="60">
        <f t="shared" si="1"/>
        <v>154895.75</v>
      </c>
      <c r="N12" s="60">
        <f t="shared" si="1"/>
        <v>0</v>
      </c>
      <c r="O12" s="60">
        <f t="shared" si="1"/>
        <v>451.32</v>
      </c>
      <c r="P12" s="66"/>
    </row>
    <row r="13" spans="1:17" s="67" customFormat="1" x14ac:dyDescent="0.25">
      <c r="A13"/>
      <c r="B13" s="64" t="s">
        <v>13</v>
      </c>
      <c r="C13" s="60" t="e">
        <f>#REF!+#REF!+#REF!+#REF!+#REF!+#REF!+#REF!+#REF!+#REF!+#REF!+#REF!+#REF!+#REF!+#REF!+#REF!+#REF!+#REF!+#REF!+C45+#REF!+#REF!+#REF!+#REF!</f>
        <v>#REF!</v>
      </c>
      <c r="D13" s="60" t="e">
        <f>#REF!+#REF!+#REF!+#REF!+#REF!+#REF!+#REF!+#REF!+#REF!+#REF!+#REF!+#REF!+#REF!+#REF!+#REF!+#REF!+#REF!+#REF!+D45+#REF!+#REF!+#REF!+#REF!</f>
        <v>#REF!</v>
      </c>
      <c r="E13" s="60" t="e">
        <f>#REF!+#REF!+#REF!+#REF!+#REF!+#REF!+#REF!+#REF!+#REF!+#REF!+#REF!+#REF!+#REF!+#REF!+#REF!+#REF!+#REF!+#REF!+E45+#REF!+#REF!+#REF!+#REF!</f>
        <v>#REF!</v>
      </c>
      <c r="F13" s="60">
        <f t="shared" si="1"/>
        <v>30980.63</v>
      </c>
      <c r="G13" s="60">
        <f t="shared" si="1"/>
        <v>30827.03</v>
      </c>
      <c r="H13" s="60">
        <f t="shared" si="1"/>
        <v>12559.77</v>
      </c>
      <c r="I13" s="60">
        <f t="shared" si="2"/>
        <v>40.74</v>
      </c>
      <c r="J13" s="60">
        <f t="shared" si="1"/>
        <v>12559.77</v>
      </c>
      <c r="K13" s="60">
        <f t="shared" si="3"/>
        <v>40.74</v>
      </c>
      <c r="L13" s="60">
        <f t="shared" si="1"/>
        <v>29071.119999999999</v>
      </c>
      <c r="M13" s="60">
        <f t="shared" si="1"/>
        <v>1755.91</v>
      </c>
      <c r="N13" s="60">
        <f t="shared" si="1"/>
        <v>0</v>
      </c>
      <c r="O13" s="60">
        <f t="shared" si="1"/>
        <v>1</v>
      </c>
      <c r="P13" s="66"/>
    </row>
    <row r="14" spans="1:17" s="67" customFormat="1" x14ac:dyDescent="0.25">
      <c r="A14"/>
      <c r="B14" s="64" t="s">
        <v>5</v>
      </c>
      <c r="C14" s="60" t="e">
        <f>#REF!+#REF!+#REF!+#REF!+#REF!+#REF!+#REF!+#REF!+#REF!+#REF!+#REF!+#REF!+#REF!+#REF!+#REF!+#REF!+#REF!+#REF!+#REF!+#REF!+#REF!</f>
        <v>#REF!</v>
      </c>
      <c r="D14" s="60" t="e">
        <f>#REF!+#REF!+#REF!+#REF!+#REF!+#REF!+#REF!+#REF!+#REF!+#REF!+#REF!+#REF!+#REF!+#REF!+#REF!+#REF!+#REF!+#REF!+#REF!+#REF!+#REF!</f>
        <v>#REF!</v>
      </c>
      <c r="E14" s="60" t="e">
        <f>#REF!+#REF!+#REF!+#REF!+#REF!+#REF!+#REF!+#REF!+#REF!+#REF!+#REF!+#REF!+#REF!+#REF!+#REF!+#REF!+#REF!+#REF!+#REF!+#REF!+#REF!</f>
        <v>#REF!</v>
      </c>
      <c r="F14" s="60">
        <f t="shared" si="1"/>
        <v>109215.93</v>
      </c>
      <c r="G14" s="60">
        <f t="shared" si="1"/>
        <v>109256.5</v>
      </c>
      <c r="H14" s="60">
        <f t="shared" si="1"/>
        <v>19640.04</v>
      </c>
      <c r="I14" s="60">
        <f t="shared" si="2"/>
        <v>17.98</v>
      </c>
      <c r="J14" s="60">
        <f t="shared" si="1"/>
        <v>19640.04</v>
      </c>
      <c r="K14" s="60">
        <f t="shared" si="3"/>
        <v>17.98</v>
      </c>
      <c r="L14" s="60">
        <f t="shared" si="1"/>
        <v>108139.31</v>
      </c>
      <c r="M14" s="60">
        <f t="shared" si="1"/>
        <v>0</v>
      </c>
      <c r="N14" s="60">
        <f t="shared" si="1"/>
        <v>0</v>
      </c>
      <c r="O14" s="60">
        <f t="shared" si="1"/>
        <v>1117.19</v>
      </c>
      <c r="P14" s="68"/>
    </row>
    <row r="15" spans="1:17" s="73" customFormat="1" ht="63" customHeight="1" x14ac:dyDescent="0.25">
      <c r="A15" s="277" t="s">
        <v>56</v>
      </c>
      <c r="B15" s="69" t="s">
        <v>72</v>
      </c>
      <c r="C15" s="61" t="e">
        <f>SUM(C20:C20)</f>
        <v>#REF!</v>
      </c>
      <c r="D15" s="61" t="e">
        <f>SUM(D20:D20)</f>
        <v>#REF!</v>
      </c>
      <c r="E15" s="61" t="e">
        <f>SUM(E20:E20)</f>
        <v>#REF!</v>
      </c>
      <c r="F15" s="61">
        <f>F16+F17+F18+F19+F20</f>
        <v>162038.70000000001</v>
      </c>
      <c r="G15" s="61">
        <f t="shared" ref="G15:J15" si="4">G16+G17+G18+G19+G20</f>
        <v>162038.70000000001</v>
      </c>
      <c r="H15" s="61">
        <f t="shared" si="4"/>
        <v>84460.44</v>
      </c>
      <c r="I15" s="70">
        <f>H15/G15</f>
        <v>0.52</v>
      </c>
      <c r="J15" s="61">
        <f t="shared" si="4"/>
        <v>84420.44</v>
      </c>
      <c r="K15" s="151">
        <f>J15/G15</f>
        <v>0.52</v>
      </c>
      <c r="L15" s="61">
        <f t="shared" ref="L15:O15" si="5">L16+L17+L18+L19+L20</f>
        <v>162038.70000000001</v>
      </c>
      <c r="M15" s="61">
        <f t="shared" si="5"/>
        <v>0</v>
      </c>
      <c r="N15" s="61">
        <f t="shared" si="5"/>
        <v>0</v>
      </c>
      <c r="O15" s="61">
        <f t="shared" si="5"/>
        <v>0</v>
      </c>
      <c r="P15" s="272" t="s">
        <v>164</v>
      </c>
    </row>
    <row r="16" spans="1:17" s="73" customFormat="1" ht="63" customHeight="1" x14ac:dyDescent="0.25">
      <c r="A16" s="278"/>
      <c r="B16" s="64" t="s">
        <v>4</v>
      </c>
      <c r="C16" s="61"/>
      <c r="D16" s="61"/>
      <c r="E16" s="61"/>
      <c r="F16" s="147"/>
      <c r="G16" s="147"/>
      <c r="H16" s="147"/>
      <c r="I16" s="148"/>
      <c r="J16" s="147"/>
      <c r="K16" s="149"/>
      <c r="L16" s="147"/>
      <c r="M16" s="150"/>
      <c r="N16" s="150"/>
      <c r="O16" s="147"/>
      <c r="P16"/>
    </row>
    <row r="17" spans="1:16" s="73" customFormat="1" ht="63" customHeight="1" x14ac:dyDescent="0.25">
      <c r="A17" s="278"/>
      <c r="B17" s="64" t="s">
        <v>16</v>
      </c>
      <c r="C17" s="61"/>
      <c r="D17" s="61"/>
      <c r="E17" s="61"/>
      <c r="F17" s="147">
        <v>162038.70000000001</v>
      </c>
      <c r="G17" s="147">
        <v>162038.70000000001</v>
      </c>
      <c r="H17" s="147">
        <v>84460.44</v>
      </c>
      <c r="I17" s="148">
        <f>H17/G17</f>
        <v>0.52</v>
      </c>
      <c r="J17" s="147">
        <v>84420.44</v>
      </c>
      <c r="K17" s="149">
        <f>J17/G17</f>
        <v>0.52</v>
      </c>
      <c r="L17" s="147">
        <v>162038.70000000001</v>
      </c>
      <c r="M17" s="150"/>
      <c r="N17" s="150"/>
      <c r="O17" s="147">
        <f>G17-L17</f>
        <v>0</v>
      </c>
      <c r="P17"/>
    </row>
    <row r="18" spans="1:16" s="73" customFormat="1" ht="63" customHeight="1" x14ac:dyDescent="0.25">
      <c r="A18" s="278"/>
      <c r="B18" s="64" t="s">
        <v>11</v>
      </c>
      <c r="C18" s="61"/>
      <c r="D18" s="61"/>
      <c r="E18" s="61"/>
      <c r="F18" s="147"/>
      <c r="G18" s="147"/>
      <c r="H18" s="147"/>
      <c r="I18" s="148"/>
      <c r="J18" s="147"/>
      <c r="K18" s="149"/>
      <c r="L18" s="147"/>
      <c r="M18" s="150"/>
      <c r="N18" s="150"/>
      <c r="O18" s="147"/>
      <c r="P18"/>
    </row>
    <row r="19" spans="1:16" s="73" customFormat="1" ht="63" customHeight="1" x14ac:dyDescent="0.25">
      <c r="A19" s="278"/>
      <c r="B19" s="64" t="s">
        <v>13</v>
      </c>
      <c r="C19" s="61"/>
      <c r="D19" s="61"/>
      <c r="E19" s="61"/>
      <c r="F19" s="147"/>
      <c r="G19" s="147"/>
      <c r="H19" s="147"/>
      <c r="I19" s="148"/>
      <c r="J19" s="147"/>
      <c r="K19" s="149"/>
      <c r="L19" s="147"/>
      <c r="M19" s="150"/>
      <c r="N19" s="150"/>
      <c r="O19" s="147"/>
      <c r="P19"/>
    </row>
    <row r="20" spans="1:16" s="77" customFormat="1" ht="63" customHeight="1" x14ac:dyDescent="0.25">
      <c r="A20" s="278"/>
      <c r="B20" s="64" t="s">
        <v>5</v>
      </c>
      <c r="C20" s="65" t="e">
        <f>#REF!+#REF!+#REF!+#REF!+#REF!+#REF!+#REF!+#REF!+#REF!</f>
        <v>#REF!</v>
      </c>
      <c r="D20" s="65" t="e">
        <f>#REF!+#REF!+#REF!+#REF!+#REF!+#REF!+#REF!+#REF!+#REF!</f>
        <v>#REF!</v>
      </c>
      <c r="E20" s="65" t="e">
        <f>#REF!+#REF!+#REF!+#REF!+#REF!+#REF!+#REF!+#REF!+#REF!</f>
        <v>#REF!</v>
      </c>
      <c r="F20" s="147"/>
      <c r="G20" s="147"/>
      <c r="H20" s="147"/>
      <c r="I20" s="148"/>
      <c r="J20" s="147"/>
      <c r="K20" s="149"/>
      <c r="L20" s="147"/>
      <c r="M20" s="150"/>
      <c r="N20" s="150"/>
      <c r="O20" s="147"/>
      <c r="P20"/>
    </row>
    <row r="21" spans="1:16" s="82" customFormat="1" ht="130.5" customHeight="1" x14ac:dyDescent="0.4">
      <c r="A21" s="78" t="s">
        <v>14</v>
      </c>
      <c r="B21" s="69" t="s">
        <v>71</v>
      </c>
      <c r="C21" s="61" t="e">
        <f>SUM(C24:C26)</f>
        <v>#REF!</v>
      </c>
      <c r="D21" s="61" t="e">
        <f>SUM(D24:D26)</f>
        <v>#REF!</v>
      </c>
      <c r="E21" s="61" t="e">
        <f>SUM(E24:E26)</f>
        <v>#REF!</v>
      </c>
      <c r="F21" s="61">
        <f>F22+F23+F24</f>
        <v>8362444.0300000003</v>
      </c>
      <c r="G21" s="61">
        <f t="shared" ref="G21:H21" si="6">G22+G23+G24</f>
        <v>8415365.1300000008</v>
      </c>
      <c r="H21" s="61">
        <f t="shared" si="6"/>
        <v>4540501.3899999997</v>
      </c>
      <c r="I21" s="70">
        <f>H21/G21</f>
        <v>0.54</v>
      </c>
      <c r="J21" s="61">
        <f>J22+J23+J24</f>
        <v>4499255.68</v>
      </c>
      <c r="K21" s="151">
        <f>J21/G21</f>
        <v>0.53</v>
      </c>
      <c r="L21" s="61">
        <f>L22+L23+L24</f>
        <v>8375030</v>
      </c>
      <c r="M21" s="61">
        <f t="shared" ref="M21:O21" si="7">M22+M23+M24</f>
        <v>0</v>
      </c>
      <c r="N21" s="61">
        <f t="shared" si="7"/>
        <v>0</v>
      </c>
      <c r="O21" s="61">
        <f t="shared" si="7"/>
        <v>40335.129999999997</v>
      </c>
      <c r="P21" s="273" t="s">
        <v>165</v>
      </c>
    </row>
    <row r="22" spans="1:16" s="82" customFormat="1" ht="90.75" customHeight="1" x14ac:dyDescent="0.4">
      <c r="A22" s="83"/>
      <c r="B22" s="64" t="s">
        <v>4</v>
      </c>
      <c r="C22" s="84"/>
      <c r="D22" s="84"/>
      <c r="E22" s="84"/>
      <c r="F22" s="84"/>
      <c r="G22" s="84"/>
      <c r="H22" s="84"/>
      <c r="I22" s="79"/>
      <c r="J22" s="61"/>
      <c r="K22" s="80"/>
      <c r="L22" s="61"/>
      <c r="M22" s="85"/>
      <c r="N22" s="85"/>
      <c r="O22" s="81"/>
      <c r="P22"/>
    </row>
    <row r="23" spans="1:16" s="82" customFormat="1" ht="90.75" customHeight="1" x14ac:dyDescent="0.4">
      <c r="A23" s="83"/>
      <c r="B23" s="64" t="s">
        <v>16</v>
      </c>
      <c r="C23" s="84"/>
      <c r="D23" s="84"/>
      <c r="E23" s="84"/>
      <c r="F23" s="176">
        <v>8340663.5</v>
      </c>
      <c r="G23" s="176">
        <v>8393584.5999999996</v>
      </c>
      <c r="H23" s="176">
        <v>4534793</v>
      </c>
      <c r="I23" s="148">
        <f>H23/G23</f>
        <v>0.54</v>
      </c>
      <c r="J23" s="147">
        <v>4493547.29</v>
      </c>
      <c r="K23" s="149">
        <f>J23/G23</f>
        <v>0.54</v>
      </c>
      <c r="L23" s="147">
        <f>8352949.47+300</f>
        <v>8353249.4699999997</v>
      </c>
      <c r="M23" s="177"/>
      <c r="N23" s="177"/>
      <c r="O23" s="147">
        <f>G23-L23</f>
        <v>40335.129999999997</v>
      </c>
      <c r="P23"/>
    </row>
    <row r="24" spans="1:16" s="82" customFormat="1" ht="90.75" customHeight="1" x14ac:dyDescent="0.4">
      <c r="A24" s="86"/>
      <c r="B24" s="64" t="s">
        <v>11</v>
      </c>
      <c r="C24" s="87" t="e">
        <f>#REF!</f>
        <v>#REF!</v>
      </c>
      <c r="D24" s="87" t="e">
        <f>#REF!</f>
        <v>#REF!</v>
      </c>
      <c r="E24" s="87" t="e">
        <f>#REF!</f>
        <v>#REF!</v>
      </c>
      <c r="F24" s="87">
        <v>21780.53</v>
      </c>
      <c r="G24" s="87">
        <v>21780.53</v>
      </c>
      <c r="H24" s="87">
        <v>5708.39</v>
      </c>
      <c r="I24" s="148">
        <f>H24/G24</f>
        <v>0.26</v>
      </c>
      <c r="J24" s="65">
        <v>5708.39</v>
      </c>
      <c r="K24" s="149">
        <f>J24/G24</f>
        <v>0.26</v>
      </c>
      <c r="L24" s="65">
        <v>21780.53</v>
      </c>
      <c r="M24" s="76"/>
      <c r="N24" s="76"/>
      <c r="O24" s="88"/>
      <c r="P24"/>
    </row>
    <row r="25" spans="1:16" s="82" customFormat="1" ht="90.75" customHeight="1" x14ac:dyDescent="0.4">
      <c r="A25" s="86"/>
      <c r="B25" s="64" t="s">
        <v>13</v>
      </c>
      <c r="C25" s="65" t="e">
        <f>#REF!</f>
        <v>#REF!</v>
      </c>
      <c r="D25" s="65" t="e">
        <f>#REF!</f>
        <v>#REF!</v>
      </c>
      <c r="E25" s="65" t="e">
        <f>#REF!</f>
        <v>#REF!</v>
      </c>
      <c r="F25" s="65"/>
      <c r="G25" s="65"/>
      <c r="H25" s="65"/>
      <c r="I25" s="74"/>
      <c r="J25" s="65"/>
      <c r="K25" s="75"/>
      <c r="L25" s="65"/>
      <c r="M25" s="76"/>
      <c r="N25" s="76"/>
      <c r="O25" s="81"/>
      <c r="P25"/>
    </row>
    <row r="26" spans="1:16" s="82" customFormat="1" ht="90.75" customHeight="1" x14ac:dyDescent="0.4">
      <c r="A26" s="86"/>
      <c r="B26" s="64" t="s">
        <v>5</v>
      </c>
      <c r="C26" s="65"/>
      <c r="D26" s="65"/>
      <c r="E26" s="65"/>
      <c r="F26" s="65"/>
      <c r="G26" s="65"/>
      <c r="H26" s="89"/>
      <c r="I26" s="90"/>
      <c r="J26" s="89"/>
      <c r="K26" s="91"/>
      <c r="L26" s="65"/>
      <c r="M26" s="76"/>
      <c r="N26" s="76"/>
      <c r="O26" s="92"/>
      <c r="P26"/>
    </row>
    <row r="27" spans="1:16" ht="102.75" customHeight="1" x14ac:dyDescent="0.4">
      <c r="A27" s="78" t="s">
        <v>15</v>
      </c>
      <c r="B27" s="93" t="s">
        <v>70</v>
      </c>
      <c r="C27" s="61" t="e">
        <f>SUM(C28:C32)</f>
        <v>#REF!</v>
      </c>
      <c r="D27" s="61" t="e">
        <f>SUM(D28:D32)</f>
        <v>#REF!</v>
      </c>
      <c r="E27" s="61" t="e">
        <f>SUM(E28:E32)</f>
        <v>#REF!</v>
      </c>
      <c r="F27" s="61">
        <f>F28+F29+F30+F31+F32</f>
        <v>349410.84</v>
      </c>
      <c r="G27" s="61">
        <f t="shared" ref="G27:O27" si="8">G28+G29+G30+G31+G32</f>
        <v>356357.94</v>
      </c>
      <c r="H27" s="61">
        <f t="shared" si="8"/>
        <v>160028.48000000001</v>
      </c>
      <c r="I27" s="174">
        <f t="shared" ref="I27:I30" si="9">H27/G27</f>
        <v>0.45</v>
      </c>
      <c r="J27" s="61">
        <f t="shared" si="8"/>
        <v>118579.61</v>
      </c>
      <c r="K27" s="151">
        <f t="shared" ref="K27:K30" si="10">J27/G27</f>
        <v>0.33</v>
      </c>
      <c r="L27" s="61">
        <f t="shared" si="8"/>
        <v>356357.94</v>
      </c>
      <c r="M27" s="61">
        <f t="shared" si="8"/>
        <v>0</v>
      </c>
      <c r="N27" s="61">
        <f t="shared" si="8"/>
        <v>0</v>
      </c>
      <c r="O27" s="61">
        <f t="shared" si="8"/>
        <v>0</v>
      </c>
      <c r="P27" s="272" t="s">
        <v>176</v>
      </c>
    </row>
    <row r="28" spans="1:16" ht="102.75" customHeight="1" x14ac:dyDescent="0.4">
      <c r="A28" s="94"/>
      <c r="B28" s="64" t="s">
        <v>4</v>
      </c>
      <c r="C28" s="65" t="e">
        <f>#REF!</f>
        <v>#REF!</v>
      </c>
      <c r="D28" s="65" t="e">
        <f>#REF!</f>
        <v>#REF!</v>
      </c>
      <c r="E28" s="65" t="e">
        <f>#REF!</f>
        <v>#REF!</v>
      </c>
      <c r="F28" s="65"/>
      <c r="G28" s="65"/>
      <c r="H28" s="65"/>
      <c r="I28" s="74"/>
      <c r="J28" s="65"/>
      <c r="K28" s="75"/>
      <c r="L28" s="65"/>
      <c r="M28" s="76"/>
      <c r="N28" s="76"/>
      <c r="O28" s="88"/>
      <c r="P28"/>
    </row>
    <row r="29" spans="1:16" ht="102.75" customHeight="1" x14ac:dyDescent="0.4">
      <c r="A29" s="94"/>
      <c r="B29" s="64" t="s">
        <v>16</v>
      </c>
      <c r="C29" s="95"/>
      <c r="D29" s="95"/>
      <c r="E29" s="95"/>
      <c r="F29" s="262">
        <v>330077.40000000002</v>
      </c>
      <c r="G29" s="262">
        <v>337024.5</v>
      </c>
      <c r="H29" s="262">
        <v>152203.67000000001</v>
      </c>
      <c r="I29" s="242">
        <f t="shared" si="9"/>
        <v>0.45</v>
      </c>
      <c r="J29" s="262">
        <v>110754.8</v>
      </c>
      <c r="K29" s="243">
        <f t="shared" si="10"/>
        <v>0.33</v>
      </c>
      <c r="L29" s="244">
        <f>3565.66+103707.34+48629.3+181122.2</f>
        <v>337024.5</v>
      </c>
      <c r="M29" s="150"/>
      <c r="N29" s="150"/>
      <c r="O29" s="147">
        <f t="shared" ref="O29:O30" si="11">G29-L29</f>
        <v>0</v>
      </c>
      <c r="P29"/>
    </row>
    <row r="30" spans="1:16" ht="102.75" customHeight="1" x14ac:dyDescent="0.4">
      <c r="A30" s="94"/>
      <c r="B30" s="64" t="s">
        <v>11</v>
      </c>
      <c r="C30" s="95"/>
      <c r="D30" s="95"/>
      <c r="E30" s="95"/>
      <c r="F30" s="262">
        <v>19333.439999999999</v>
      </c>
      <c r="G30" s="262">
        <v>19333.439999999999</v>
      </c>
      <c r="H30" s="262">
        <v>7824.81</v>
      </c>
      <c r="I30" s="242">
        <f t="shared" si="9"/>
        <v>0.4</v>
      </c>
      <c r="J30" s="262">
        <v>7824.81</v>
      </c>
      <c r="K30" s="243">
        <f t="shared" si="10"/>
        <v>0.4</v>
      </c>
      <c r="L30" s="244">
        <f>15767.78+3565.66</f>
        <v>19333.439999999999</v>
      </c>
      <c r="M30" s="150"/>
      <c r="N30" s="150"/>
      <c r="O30" s="147">
        <f t="shared" si="11"/>
        <v>0</v>
      </c>
      <c r="P30"/>
    </row>
    <row r="31" spans="1:16" ht="102.75" customHeight="1" x14ac:dyDescent="0.4">
      <c r="A31" s="94"/>
      <c r="B31" s="64" t="s">
        <v>13</v>
      </c>
      <c r="C31" s="95"/>
      <c r="D31" s="95"/>
      <c r="E31" s="95"/>
      <c r="F31" s="95"/>
      <c r="G31" s="95"/>
      <c r="H31" s="95"/>
      <c r="I31" s="96"/>
      <c r="J31" s="95"/>
      <c r="K31" s="97"/>
      <c r="L31" s="95"/>
      <c r="M31" s="76"/>
      <c r="N31" s="76"/>
      <c r="O31" s="88"/>
      <c r="P31"/>
    </row>
    <row r="32" spans="1:16" ht="102.75" customHeight="1" x14ac:dyDescent="0.4">
      <c r="A32" s="94"/>
      <c r="B32" s="64" t="s">
        <v>5</v>
      </c>
      <c r="C32" s="95" t="e">
        <f>#REF!</f>
        <v>#REF!</v>
      </c>
      <c r="D32" s="95" t="e">
        <f>#REF!</f>
        <v>#REF!</v>
      </c>
      <c r="E32" s="95" t="e">
        <f>#REF!</f>
        <v>#REF!</v>
      </c>
      <c r="F32" s="95"/>
      <c r="G32" s="95"/>
      <c r="H32" s="95"/>
      <c r="I32" s="96"/>
      <c r="J32" s="95"/>
      <c r="K32" s="97"/>
      <c r="L32" s="95"/>
      <c r="M32" s="76"/>
      <c r="N32" s="76"/>
      <c r="O32" s="92"/>
      <c r="P32"/>
    </row>
    <row r="33" spans="1:16" s="101" customFormat="1" ht="127.5" x14ac:dyDescent="0.25">
      <c r="A33" s="277" t="s">
        <v>57</v>
      </c>
      <c r="B33" s="98" t="s">
        <v>69</v>
      </c>
      <c r="C33" s="61" t="e">
        <f>#REF!+#REF!+#REF!+#REF!+#REF!</f>
        <v>#REF!</v>
      </c>
      <c r="D33" s="61" t="e">
        <f>#REF!+#REF!+#REF!+#REF!+#REF!</f>
        <v>#REF!</v>
      </c>
      <c r="E33" s="61" t="e">
        <f>#REF!+#REF!+#REF!+#REF!+#REF!</f>
        <v>#REF!</v>
      </c>
      <c r="F33" s="61"/>
      <c r="G33" s="61"/>
      <c r="H33" s="99"/>
      <c r="I33" s="70"/>
      <c r="J33" s="61"/>
      <c r="K33" s="100"/>
      <c r="L33" s="71"/>
      <c r="M33" s="72"/>
      <c r="N33" s="72"/>
      <c r="O33" s="72"/>
      <c r="P33" s="271" t="s">
        <v>124</v>
      </c>
    </row>
    <row r="34" spans="1:16" ht="84.75" customHeight="1" x14ac:dyDescent="0.4">
      <c r="A34" s="277" t="s">
        <v>1</v>
      </c>
      <c r="B34" s="102" t="s">
        <v>68</v>
      </c>
      <c r="C34" s="61" t="e">
        <f>SUM(C35:C39)</f>
        <v>#REF!</v>
      </c>
      <c r="D34" s="61" t="e">
        <f>SUM(D35:D39)</f>
        <v>#REF!</v>
      </c>
      <c r="E34" s="61" t="e">
        <f>SUM(E35:E39)</f>
        <v>#REF!</v>
      </c>
      <c r="F34" s="61">
        <f>F35+F36+F37</f>
        <v>174321.68</v>
      </c>
      <c r="G34" s="61">
        <f t="shared" ref="G34:H34" si="12">G35+G36+G37</f>
        <v>174307.38</v>
      </c>
      <c r="H34" s="61">
        <f t="shared" si="12"/>
        <v>92121.600000000006</v>
      </c>
      <c r="I34" s="174">
        <f t="shared" ref="I34:I37" si="13">H34/G34</f>
        <v>0.53</v>
      </c>
      <c r="J34" s="121">
        <f>J35+J36+J37</f>
        <v>87885.24</v>
      </c>
      <c r="K34" s="151">
        <f t="shared" ref="K34:K37" si="14">J34/G34</f>
        <v>0.5</v>
      </c>
      <c r="L34" s="61">
        <f>L35+L36+L37</f>
        <v>174307.38</v>
      </c>
      <c r="M34" s="61">
        <f t="shared" ref="M34:O34" si="15">M35+M36+M37</f>
        <v>0</v>
      </c>
      <c r="N34" s="61">
        <f t="shared" si="15"/>
        <v>0</v>
      </c>
      <c r="O34" s="121">
        <f t="shared" si="15"/>
        <v>0</v>
      </c>
      <c r="P34" s="273" t="s">
        <v>166</v>
      </c>
    </row>
    <row r="35" spans="1:16" ht="84.75" customHeight="1" x14ac:dyDescent="0.4">
      <c r="A35" s="94"/>
      <c r="B35" s="103" t="s">
        <v>4</v>
      </c>
      <c r="C35" s="65" t="e">
        <f>#REF!</f>
        <v>#REF!</v>
      </c>
      <c r="D35" s="65" t="e">
        <f>#REF!</f>
        <v>#REF!</v>
      </c>
      <c r="E35" s="65" t="e">
        <f>#REF!</f>
        <v>#REF!</v>
      </c>
      <c r="F35" s="65">
        <v>100.1</v>
      </c>
      <c r="G35" s="65">
        <v>85.8</v>
      </c>
      <c r="H35" s="125">
        <v>85.8</v>
      </c>
      <c r="I35" s="148">
        <f t="shared" si="13"/>
        <v>1</v>
      </c>
      <c r="J35" s="125">
        <v>0</v>
      </c>
      <c r="K35" s="227">
        <f t="shared" si="14"/>
        <v>0</v>
      </c>
      <c r="L35" s="208">
        <v>85.8</v>
      </c>
      <c r="M35" s="76"/>
      <c r="N35" s="76"/>
      <c r="O35" s="229"/>
      <c r="P35"/>
    </row>
    <row r="36" spans="1:16" ht="84.75" customHeight="1" x14ac:dyDescent="0.4">
      <c r="A36" s="94"/>
      <c r="B36" s="103" t="s">
        <v>16</v>
      </c>
      <c r="C36" s="65"/>
      <c r="D36" s="65"/>
      <c r="E36" s="65"/>
      <c r="F36" s="65">
        <v>165144.4</v>
      </c>
      <c r="G36" s="65">
        <v>165144.4</v>
      </c>
      <c r="H36" s="125">
        <v>87264.55</v>
      </c>
      <c r="I36" s="148">
        <f t="shared" si="13"/>
        <v>0.53</v>
      </c>
      <c r="J36" s="125">
        <v>83113.990000000005</v>
      </c>
      <c r="K36" s="227">
        <f t="shared" si="14"/>
        <v>0.5</v>
      </c>
      <c r="L36" s="208">
        <f>189.9+4617.5+160337</f>
        <v>165144.4</v>
      </c>
      <c r="M36" s="76"/>
      <c r="N36" s="76"/>
      <c r="O36" s="229"/>
      <c r="P36"/>
    </row>
    <row r="37" spans="1:16" ht="84.75" customHeight="1" x14ac:dyDescent="0.4">
      <c r="A37" s="94"/>
      <c r="B37" s="103" t="s">
        <v>11</v>
      </c>
      <c r="C37" s="65"/>
      <c r="D37" s="65"/>
      <c r="E37" s="65"/>
      <c r="F37" s="65">
        <v>9077.18</v>
      </c>
      <c r="G37" s="65">
        <v>9077.18</v>
      </c>
      <c r="H37" s="125">
        <v>4771.25</v>
      </c>
      <c r="I37" s="148">
        <f t="shared" si="13"/>
        <v>0.53</v>
      </c>
      <c r="J37" s="125">
        <v>4771.25</v>
      </c>
      <c r="K37" s="227">
        <f t="shared" si="14"/>
        <v>0.53</v>
      </c>
      <c r="L37" s="241">
        <f>638.38+8438.8</f>
        <v>9077.18</v>
      </c>
      <c r="M37" s="76"/>
      <c r="N37" s="76"/>
      <c r="O37" s="229"/>
      <c r="P37"/>
    </row>
    <row r="38" spans="1:16" ht="84.75" customHeight="1" x14ac:dyDescent="0.4">
      <c r="A38" s="94"/>
      <c r="B38" s="103" t="s">
        <v>13</v>
      </c>
      <c r="C38" s="65" t="e">
        <f>#REF!</f>
        <v>#REF!</v>
      </c>
      <c r="D38" s="65" t="e">
        <f>#REF!</f>
        <v>#REF!</v>
      </c>
      <c r="E38" s="65" t="e">
        <f>#REF!</f>
        <v>#REF!</v>
      </c>
      <c r="F38" s="65"/>
      <c r="G38" s="65"/>
      <c r="H38" s="65"/>
      <c r="I38" s="104"/>
      <c r="J38" s="125"/>
      <c r="K38" s="228"/>
      <c r="L38" s="241"/>
      <c r="M38" s="105"/>
      <c r="N38" s="105"/>
      <c r="O38" s="88"/>
      <c r="P38"/>
    </row>
    <row r="39" spans="1:16" ht="84.75" customHeight="1" x14ac:dyDescent="0.4">
      <c r="A39" s="94"/>
      <c r="B39" s="103" t="s">
        <v>5</v>
      </c>
      <c r="C39" s="87" t="e">
        <f>#REF!</f>
        <v>#REF!</v>
      </c>
      <c r="D39" s="87" t="e">
        <f>#REF!</f>
        <v>#REF!</v>
      </c>
      <c r="E39" s="87" t="e">
        <f>#REF!</f>
        <v>#REF!</v>
      </c>
      <c r="F39" s="65"/>
      <c r="G39" s="65"/>
      <c r="H39" s="65"/>
      <c r="I39" s="106"/>
      <c r="J39" s="125"/>
      <c r="K39" s="127"/>
      <c r="L39" s="241"/>
      <c r="M39" s="76"/>
      <c r="N39" s="76"/>
      <c r="O39" s="88"/>
      <c r="P39"/>
    </row>
    <row r="40" spans="1:16" s="101" customFormat="1" ht="266.25" customHeight="1" x14ac:dyDescent="0.25">
      <c r="A40" s="277" t="s">
        <v>10</v>
      </c>
      <c r="B40" s="69" t="s">
        <v>99</v>
      </c>
      <c r="C40" s="61" t="e">
        <f>C41+C44+C45+#REF!+#REF!</f>
        <v>#REF!</v>
      </c>
      <c r="D40" s="61" t="e">
        <f>D41+D44+D45+#REF!+#REF!</f>
        <v>#REF!</v>
      </c>
      <c r="E40" s="61" t="e">
        <f>E41+E44+E45+#REF!+#REF!</f>
        <v>#REF!</v>
      </c>
      <c r="F40" s="61">
        <f>F41+F42+F43+F44</f>
        <v>269426.59999999998</v>
      </c>
      <c r="G40" s="61">
        <f>G41+G42+G43+G44</f>
        <v>270079.09999999998</v>
      </c>
      <c r="H40" s="61">
        <v>0</v>
      </c>
      <c r="I40" s="108"/>
      <c r="J40" s="121"/>
      <c r="K40" s="123"/>
      <c r="L40" s="121">
        <f>L41+L42+L43+L44</f>
        <v>270079.09999999998</v>
      </c>
      <c r="M40" s="72"/>
      <c r="N40" s="72"/>
      <c r="O40" s="70"/>
      <c r="P40" s="275" t="s">
        <v>167</v>
      </c>
    </row>
    <row r="41" spans="1:16" s="77" customFormat="1" ht="48.75" customHeight="1" x14ac:dyDescent="0.25">
      <c r="A41" s="110"/>
      <c r="B41" s="103" t="s">
        <v>4</v>
      </c>
      <c r="C41" s="65" t="e">
        <f>#REF!+#REF!</f>
        <v>#REF!</v>
      </c>
      <c r="D41" s="65" t="e">
        <f>#REF!+#REF!</f>
        <v>#REF!</v>
      </c>
      <c r="E41" s="65" t="e">
        <f>#REF!+#REF!</f>
        <v>#REF!</v>
      </c>
      <c r="F41" s="65"/>
      <c r="G41" s="65"/>
      <c r="H41" s="89"/>
      <c r="I41" s="90"/>
      <c r="J41" s="89"/>
      <c r="K41" s="91"/>
      <c r="L41" s="208"/>
      <c r="M41" s="76"/>
      <c r="N41" s="76"/>
      <c r="O41" s="74"/>
      <c r="P41"/>
    </row>
    <row r="42" spans="1:16" s="77" customFormat="1" ht="48.75" customHeight="1" x14ac:dyDescent="0.25">
      <c r="A42" s="110"/>
      <c r="B42" s="103" t="s">
        <v>16</v>
      </c>
      <c r="C42" s="65"/>
      <c r="D42" s="65"/>
      <c r="E42" s="65"/>
      <c r="F42" s="65">
        <f>249407.3</f>
        <v>249407.3</v>
      </c>
      <c r="G42" s="65">
        <f>652.5+249407.3</f>
        <v>250059.8</v>
      </c>
      <c r="H42" s="89"/>
      <c r="I42" s="90"/>
      <c r="J42" s="89"/>
      <c r="K42" s="91"/>
      <c r="L42" s="208">
        <f>249407.3+652.5</f>
        <v>250059.8</v>
      </c>
      <c r="M42" s="76"/>
      <c r="N42" s="76"/>
      <c r="O42" s="74"/>
      <c r="P42"/>
    </row>
    <row r="43" spans="1:16" s="77" customFormat="1" ht="48.75" customHeight="1" x14ac:dyDescent="0.25">
      <c r="A43" s="110"/>
      <c r="B43" s="103" t="s">
        <v>11</v>
      </c>
      <c r="C43" s="65"/>
      <c r="D43" s="65"/>
      <c r="E43" s="65"/>
      <c r="F43" s="125">
        <v>13126.7</v>
      </c>
      <c r="G43" s="65">
        <v>13126.7</v>
      </c>
      <c r="H43" s="89"/>
      <c r="I43" s="90"/>
      <c r="J43" s="89">
        <v>0</v>
      </c>
      <c r="K43" s="91"/>
      <c r="L43" s="208">
        <f>13126.7</f>
        <v>13126.7</v>
      </c>
      <c r="M43" s="76"/>
      <c r="N43" s="76"/>
      <c r="O43" s="74"/>
      <c r="P43"/>
    </row>
    <row r="44" spans="1:16" s="77" customFormat="1" ht="48.75" customHeight="1" x14ac:dyDescent="0.25">
      <c r="A44" s="110"/>
      <c r="B44" s="103" t="s">
        <v>13</v>
      </c>
      <c r="C44" s="65"/>
      <c r="D44" s="65"/>
      <c r="E44" s="65"/>
      <c r="F44" s="65">
        <v>6892.6</v>
      </c>
      <c r="G44" s="65">
        <v>6892.6</v>
      </c>
      <c r="H44" s="89"/>
      <c r="I44" s="90"/>
      <c r="J44" s="89"/>
      <c r="K44" s="91"/>
      <c r="L44" s="208">
        <v>6892.6</v>
      </c>
      <c r="M44" s="76"/>
      <c r="N44" s="76"/>
      <c r="O44" s="74"/>
      <c r="P44"/>
    </row>
    <row r="45" spans="1:16" s="77" customFormat="1" ht="48.75" customHeight="1" x14ac:dyDescent="0.25">
      <c r="A45" s="110"/>
      <c r="B45" s="103" t="s">
        <v>5</v>
      </c>
      <c r="C45" s="65"/>
      <c r="D45" s="65"/>
      <c r="E45" s="65"/>
      <c r="F45" s="65"/>
      <c r="G45" s="65"/>
      <c r="H45" s="89"/>
      <c r="I45" s="90"/>
      <c r="J45" s="89"/>
      <c r="K45" s="91"/>
      <c r="L45" s="65"/>
      <c r="M45" s="76"/>
      <c r="N45" s="76"/>
      <c r="O45" s="74"/>
      <c r="P45"/>
    </row>
    <row r="46" spans="1:16" s="111" customFormat="1" ht="182.25" customHeight="1" x14ac:dyDescent="0.25">
      <c r="A46" s="277" t="s">
        <v>58</v>
      </c>
      <c r="B46" s="69" t="s">
        <v>67</v>
      </c>
      <c r="C46" s="61" t="e">
        <f>SUM(C51:C51)</f>
        <v>#REF!</v>
      </c>
      <c r="D46" s="61" t="e">
        <f>SUM(D51:D51)</f>
        <v>#REF!</v>
      </c>
      <c r="E46" s="61" t="e">
        <f>SUM(E51:E51)</f>
        <v>#REF!</v>
      </c>
      <c r="F46" s="61">
        <f>F47+F48+F49+F50</f>
        <v>8659.2999999999993</v>
      </c>
      <c r="G46" s="61">
        <f t="shared" ref="G46:H46" si="16">G47+G48+G49+G50</f>
        <v>8804.7000000000007</v>
      </c>
      <c r="H46" s="61">
        <f t="shared" si="16"/>
        <v>4033.34</v>
      </c>
      <c r="I46" s="174">
        <f t="shared" ref="I46:I48" si="17">H46/G46</f>
        <v>0.46</v>
      </c>
      <c r="J46" s="61">
        <f>J47+J48+J49+J50</f>
        <v>3789.2</v>
      </c>
      <c r="K46" s="151">
        <f t="shared" ref="K46:K48" si="18">J46/G46</f>
        <v>0.43</v>
      </c>
      <c r="L46" s="61">
        <f>L47+L48</f>
        <v>8804.7000000000007</v>
      </c>
      <c r="M46" s="61"/>
      <c r="N46" s="61"/>
      <c r="O46" s="61"/>
      <c r="P46" s="274" t="s">
        <v>177</v>
      </c>
    </row>
    <row r="47" spans="1:16" s="111" customFormat="1" ht="97.5" customHeight="1" x14ac:dyDescent="0.25">
      <c r="A47" s="94"/>
      <c r="B47" s="103" t="s">
        <v>4</v>
      </c>
      <c r="C47" s="61"/>
      <c r="D47" s="61"/>
      <c r="E47" s="61"/>
      <c r="F47" s="61"/>
      <c r="G47" s="61"/>
      <c r="H47" s="61"/>
      <c r="I47" s="70"/>
      <c r="J47" s="61"/>
      <c r="K47" s="71"/>
      <c r="L47" s="61"/>
      <c r="M47" s="61"/>
      <c r="N47" s="61"/>
      <c r="O47" s="61">
        <f t="shared" ref="O47:O51" si="19">G47-L47</f>
        <v>0</v>
      </c>
      <c r="P47"/>
    </row>
    <row r="48" spans="1:16" s="111" customFormat="1" ht="103.5" customHeight="1" x14ac:dyDescent="0.25">
      <c r="A48" s="94"/>
      <c r="B48" s="103" t="s">
        <v>16</v>
      </c>
      <c r="C48" s="61"/>
      <c r="D48" s="61"/>
      <c r="E48" s="61"/>
      <c r="F48" s="147">
        <v>8659.2999999999993</v>
      </c>
      <c r="G48" s="147">
        <v>8804.7000000000007</v>
      </c>
      <c r="H48" s="147">
        <f>15.2+3800+218.14</f>
        <v>4033.34</v>
      </c>
      <c r="I48" s="148">
        <f t="shared" si="17"/>
        <v>0.46</v>
      </c>
      <c r="J48" s="147">
        <v>3789.2</v>
      </c>
      <c r="K48" s="149">
        <f t="shared" si="18"/>
        <v>0.43</v>
      </c>
      <c r="L48" s="61">
        <f>8024.62+98.63+145.38+536.07</f>
        <v>8804.7000000000007</v>
      </c>
      <c r="M48" s="61"/>
      <c r="N48" s="61"/>
      <c r="O48" s="61">
        <f>G48-L48</f>
        <v>0</v>
      </c>
      <c r="P48"/>
    </row>
    <row r="49" spans="1:19" s="111" customFormat="1" ht="86.25" customHeight="1" x14ac:dyDescent="0.25">
      <c r="A49" s="94"/>
      <c r="B49" s="103" t="s">
        <v>11</v>
      </c>
      <c r="C49" s="61"/>
      <c r="D49" s="61"/>
      <c r="E49" s="61"/>
      <c r="F49" s="61"/>
      <c r="G49" s="61"/>
      <c r="H49" s="61"/>
      <c r="I49" s="70"/>
      <c r="J49" s="61"/>
      <c r="K49" s="71"/>
      <c r="L49" s="61"/>
      <c r="M49" s="61"/>
      <c r="N49" s="61"/>
      <c r="O49" s="61">
        <f t="shared" si="19"/>
        <v>0</v>
      </c>
      <c r="P49"/>
    </row>
    <row r="50" spans="1:19" s="111" customFormat="1" ht="105" customHeight="1" x14ac:dyDescent="0.25">
      <c r="A50" s="94"/>
      <c r="B50" s="103" t="s">
        <v>13</v>
      </c>
      <c r="C50" s="61"/>
      <c r="D50" s="61"/>
      <c r="E50" s="61"/>
      <c r="F50" s="61"/>
      <c r="G50" s="61"/>
      <c r="H50" s="61"/>
      <c r="I50" s="70"/>
      <c r="J50" s="61"/>
      <c r="K50" s="71"/>
      <c r="L50" s="61"/>
      <c r="M50" s="61"/>
      <c r="N50" s="61"/>
      <c r="O50" s="61">
        <f t="shared" si="19"/>
        <v>0</v>
      </c>
      <c r="P50"/>
    </row>
    <row r="51" spans="1:19" s="111" customFormat="1" ht="182.25" customHeight="1" x14ac:dyDescent="0.25">
      <c r="A51" s="112"/>
      <c r="B51" s="245" t="s">
        <v>5</v>
      </c>
      <c r="C51" s="65" t="e">
        <f>#REF!+#REF!</f>
        <v>#REF!</v>
      </c>
      <c r="D51" s="65" t="e">
        <f>#REF!+#REF!</f>
        <v>#REF!</v>
      </c>
      <c r="E51" s="65" t="e">
        <f>#REF!+#REF!</f>
        <v>#REF!</v>
      </c>
      <c r="F51" s="65"/>
      <c r="G51" s="65"/>
      <c r="H51" s="65"/>
      <c r="I51" s="74"/>
      <c r="J51" s="65"/>
      <c r="K51" s="75"/>
      <c r="L51" s="65"/>
      <c r="M51" s="65"/>
      <c r="N51" s="65"/>
      <c r="O51" s="61">
        <f t="shared" si="19"/>
        <v>0</v>
      </c>
      <c r="P51"/>
    </row>
    <row r="52" spans="1:19" s="114" customFormat="1" ht="197.25" customHeight="1" x14ac:dyDescent="0.25">
      <c r="A52" s="277" t="s">
        <v>20</v>
      </c>
      <c r="B52" s="69" t="s">
        <v>100</v>
      </c>
      <c r="C52" s="61">
        <f>SUM(C53:C57)</f>
        <v>0</v>
      </c>
      <c r="D52" s="61">
        <f>SUM(D53:D57)</f>
        <v>0</v>
      </c>
      <c r="E52" s="61">
        <f>SUM(E53:E57)</f>
        <v>0</v>
      </c>
      <c r="F52" s="121">
        <f>F53+F54+F55+F56+F57</f>
        <v>14031.36</v>
      </c>
      <c r="G52" s="121">
        <f>G53+G54+G55+G56+G57</f>
        <v>14754.16</v>
      </c>
      <c r="H52" s="121">
        <f t="shared" ref="H52" si="20">H53+H54+H55+H56+H57</f>
        <v>1092</v>
      </c>
      <c r="I52" s="122">
        <f>H52/G52</f>
        <v>7.0000000000000007E-2</v>
      </c>
      <c r="J52" s="121">
        <f>J53+J54+J55+J56+J57</f>
        <v>3822.86</v>
      </c>
      <c r="K52" s="123">
        <f>J52/G52</f>
        <v>0.26</v>
      </c>
      <c r="L52" s="121">
        <f>L53+L54+L55+L56+L57</f>
        <v>14253.92</v>
      </c>
      <c r="M52" s="121">
        <f t="shared" ref="M52:O52" si="21">M53+M54+M55+M56+M57</f>
        <v>0</v>
      </c>
      <c r="N52" s="121">
        <f t="shared" si="21"/>
        <v>0</v>
      </c>
      <c r="O52" s="61">
        <f t="shared" si="21"/>
        <v>500.24</v>
      </c>
      <c r="P52" s="270" t="s">
        <v>168</v>
      </c>
    </row>
    <row r="53" spans="1:19" s="111" customFormat="1" ht="37.5" customHeight="1" x14ac:dyDescent="0.25">
      <c r="A53" s="278"/>
      <c r="B53" s="103" t="s">
        <v>4</v>
      </c>
      <c r="C53" s="65"/>
      <c r="D53" s="65"/>
      <c r="E53" s="65"/>
      <c r="F53" s="65">
        <v>0</v>
      </c>
      <c r="G53" s="65">
        <v>722.8</v>
      </c>
      <c r="H53" s="65"/>
      <c r="I53" s="148">
        <f t="shared" ref="I53:I55" si="22">H53/G53</f>
        <v>0</v>
      </c>
      <c r="J53" s="65"/>
      <c r="K53" s="75"/>
      <c r="L53" s="65">
        <v>722.8</v>
      </c>
      <c r="M53" s="65"/>
      <c r="N53" s="65"/>
      <c r="O53" s="147">
        <f>G53-L53</f>
        <v>0</v>
      </c>
      <c r="P53"/>
    </row>
    <row r="54" spans="1:19" s="111" customFormat="1" ht="37.5" customHeight="1" x14ac:dyDescent="0.25">
      <c r="A54" s="278"/>
      <c r="B54" s="103" t="s">
        <v>16</v>
      </c>
      <c r="C54" s="65"/>
      <c r="D54" s="65"/>
      <c r="E54" s="65"/>
      <c r="F54" s="65">
        <v>3492</v>
      </c>
      <c r="G54" s="65">
        <v>3492</v>
      </c>
      <c r="H54" s="65">
        <v>1092</v>
      </c>
      <c r="I54" s="148">
        <f t="shared" si="22"/>
        <v>0.31</v>
      </c>
      <c r="J54" s="65">
        <v>1062.7</v>
      </c>
      <c r="K54" s="149">
        <f t="shared" ref="K54:K55" si="23">J54/G54</f>
        <v>0.3</v>
      </c>
      <c r="L54" s="65">
        <f>1092+1900</f>
        <v>2992</v>
      </c>
      <c r="M54" s="65"/>
      <c r="N54" s="65"/>
      <c r="O54" s="147">
        <f>G54-L54</f>
        <v>500</v>
      </c>
      <c r="P54"/>
    </row>
    <row r="55" spans="1:19" s="111" customFormat="1" ht="37.5" customHeight="1" x14ac:dyDescent="0.25">
      <c r="A55" s="278"/>
      <c r="B55" s="103" t="s">
        <v>11</v>
      </c>
      <c r="C55" s="65"/>
      <c r="D55" s="65"/>
      <c r="E55" s="65"/>
      <c r="F55" s="65">
        <v>10539.36</v>
      </c>
      <c r="G55" s="65">
        <v>10539.36</v>
      </c>
      <c r="H55" s="65"/>
      <c r="I55" s="148">
        <f t="shared" si="22"/>
        <v>0</v>
      </c>
      <c r="J55" s="65">
        <v>2760.16</v>
      </c>
      <c r="K55" s="149">
        <f t="shared" si="23"/>
        <v>0.26</v>
      </c>
      <c r="L55" s="65">
        <v>10539.12</v>
      </c>
      <c r="M55" s="65"/>
      <c r="N55" s="65"/>
      <c r="O55" s="147">
        <f t="shared" ref="O55" si="24">G55-L55</f>
        <v>0.24</v>
      </c>
      <c r="P55"/>
    </row>
    <row r="56" spans="1:19" s="111" customFormat="1" ht="37.5" customHeight="1" x14ac:dyDescent="0.25">
      <c r="A56" s="278"/>
      <c r="B56" s="103" t="s">
        <v>13</v>
      </c>
      <c r="C56" s="65"/>
      <c r="D56" s="65"/>
      <c r="E56" s="65"/>
      <c r="F56" s="65"/>
      <c r="G56" s="65"/>
      <c r="H56" s="65"/>
      <c r="I56" s="74"/>
      <c r="J56" s="65"/>
      <c r="K56" s="75"/>
      <c r="L56" s="65"/>
      <c r="M56" s="65"/>
      <c r="N56" s="65"/>
      <c r="O56" s="95"/>
      <c r="P56"/>
    </row>
    <row r="57" spans="1:19" s="111" customFormat="1" ht="37.5" customHeight="1" x14ac:dyDescent="0.25">
      <c r="A57" s="278"/>
      <c r="B57" s="103" t="s">
        <v>5</v>
      </c>
      <c r="C57" s="65"/>
      <c r="D57" s="65"/>
      <c r="E57" s="65"/>
      <c r="F57" s="65"/>
      <c r="G57" s="65"/>
      <c r="H57" s="65"/>
      <c r="I57" s="74"/>
      <c r="J57" s="65"/>
      <c r="K57" s="75"/>
      <c r="L57" s="65"/>
      <c r="M57" s="65"/>
      <c r="N57" s="65"/>
      <c r="O57" s="95"/>
      <c r="P57"/>
    </row>
    <row r="58" spans="1:19" s="77" customFormat="1" ht="164.25" customHeight="1" outlineLevel="1" x14ac:dyDescent="0.25">
      <c r="A58" s="277" t="s">
        <v>21</v>
      </c>
      <c r="B58" s="69" t="s">
        <v>101</v>
      </c>
      <c r="C58" s="61" t="e">
        <f>#REF!+#REF!+#REF!+#REF!+#REF!</f>
        <v>#REF!</v>
      </c>
      <c r="D58" s="61" t="e">
        <f>#REF!+#REF!+#REF!+#REF!+#REF!</f>
        <v>#REF!</v>
      </c>
      <c r="E58" s="61" t="e">
        <f>#REF!+#REF!+#REF!+#REF!+#REF!</f>
        <v>#REF!</v>
      </c>
      <c r="F58" s="107"/>
      <c r="G58" s="107"/>
      <c r="H58" s="115"/>
      <c r="I58" s="108"/>
      <c r="J58" s="107"/>
      <c r="K58" s="109"/>
      <c r="L58" s="109"/>
      <c r="M58" s="72"/>
      <c r="N58" s="72"/>
      <c r="O58" s="72"/>
      <c r="P58" s="271" t="s">
        <v>124</v>
      </c>
    </row>
    <row r="59" spans="1:19" s="116" customFormat="1" ht="168" customHeight="1" x14ac:dyDescent="0.25">
      <c r="A59" s="277" t="s">
        <v>22</v>
      </c>
      <c r="B59" s="69" t="s">
        <v>102</v>
      </c>
      <c r="C59" s="61" t="e">
        <f>#REF!+#REF!+#REF!+#REF!+#REF!</f>
        <v>#REF!</v>
      </c>
      <c r="D59" s="61" t="e">
        <f>#REF!+#REF!+#REF!+#REF!+#REF!</f>
        <v>#REF!</v>
      </c>
      <c r="E59" s="61" t="e">
        <f>#REF!+#REF!+#REF!+#REF!+#REF!</f>
        <v>#REF!</v>
      </c>
      <c r="F59" s="107"/>
      <c r="G59" s="107"/>
      <c r="H59" s="115"/>
      <c r="I59" s="108"/>
      <c r="J59" s="107"/>
      <c r="K59" s="109"/>
      <c r="L59" s="109"/>
      <c r="M59" s="72"/>
      <c r="N59" s="72"/>
      <c r="O59" s="72"/>
      <c r="P59" s="271" t="s">
        <v>124</v>
      </c>
    </row>
    <row r="60" spans="1:19" s="155" customFormat="1" ht="127.5" customHeight="1" x14ac:dyDescent="0.25">
      <c r="A60" s="282" t="s">
        <v>23</v>
      </c>
      <c r="B60" s="283" t="s">
        <v>103</v>
      </c>
      <c r="C60" s="283"/>
      <c r="D60" s="283"/>
      <c r="E60" s="283"/>
      <c r="F60" s="168">
        <f>SUM(F61:F65)</f>
        <v>1343098.33</v>
      </c>
      <c r="G60" s="168">
        <f t="shared" ref="G60:J60" si="25">SUM(G61:G65)</f>
        <v>1611089</v>
      </c>
      <c r="H60" s="168">
        <f t="shared" si="25"/>
        <v>1063014.1599999999</v>
      </c>
      <c r="I60" s="284">
        <f t="shared" ref="I60:I90" si="26">H60/G60</f>
        <v>0.66</v>
      </c>
      <c r="J60" s="168">
        <f t="shared" si="25"/>
        <v>1043054.72</v>
      </c>
      <c r="K60" s="285">
        <f t="shared" ref="K60:K66" si="27">J60/G60</f>
        <v>0.64700000000000002</v>
      </c>
      <c r="L60" s="168">
        <f>SUM(L61:L65)</f>
        <v>16714.12</v>
      </c>
      <c r="M60" s="168">
        <f t="shared" ref="M60:N60" si="28">SUM(M61:M65)</f>
        <v>1611089</v>
      </c>
      <c r="N60" s="286">
        <f t="shared" si="28"/>
        <v>0</v>
      </c>
      <c r="O60" s="284">
        <f t="shared" ref="O60:O105" si="29">M60/G60</f>
        <v>1</v>
      </c>
      <c r="P60" s="152"/>
      <c r="Q60" s="152"/>
      <c r="R60" s="153"/>
      <c r="S60" s="154"/>
    </row>
    <row r="61" spans="1:19" s="158" customFormat="1" ht="23.25" x14ac:dyDescent="0.25">
      <c r="A61"/>
      <c r="B61" s="287" t="s">
        <v>4</v>
      </c>
      <c r="C61" s="287"/>
      <c r="D61" s="287"/>
      <c r="E61" s="287"/>
      <c r="F61" s="166">
        <f t="shared" ref="F61:H65" si="30">F67+F103</f>
        <v>14306.5</v>
      </c>
      <c r="G61" s="166">
        <f t="shared" si="30"/>
        <v>17057.03</v>
      </c>
      <c r="H61" s="166">
        <f t="shared" si="30"/>
        <v>14618.93</v>
      </c>
      <c r="I61" s="288">
        <f t="shared" si="26"/>
        <v>0.85699999999999998</v>
      </c>
      <c r="J61" s="166">
        <f>J67+J103</f>
        <v>4558.03</v>
      </c>
      <c r="K61" s="288">
        <f t="shared" si="27"/>
        <v>0.26700000000000002</v>
      </c>
      <c r="L61" s="166">
        <f>L67+L103</f>
        <v>10060.9</v>
      </c>
      <c r="M61" s="166">
        <f t="shared" ref="M61:N64" si="31">M67+M103</f>
        <v>17057.03</v>
      </c>
      <c r="N61" s="289">
        <f t="shared" si="31"/>
        <v>0</v>
      </c>
      <c r="O61" s="290">
        <f t="shared" si="29"/>
        <v>1</v>
      </c>
      <c r="P61" s="156"/>
      <c r="Q61" s="156"/>
      <c r="R61" s="256"/>
      <c r="S61" s="157"/>
    </row>
    <row r="62" spans="1:19" s="158" customFormat="1" ht="23.25" x14ac:dyDescent="0.25">
      <c r="A62"/>
      <c r="B62" s="287" t="s">
        <v>130</v>
      </c>
      <c r="C62" s="287"/>
      <c r="D62" s="287"/>
      <c r="E62" s="287"/>
      <c r="F62" s="166">
        <f t="shared" si="30"/>
        <v>1172140.17</v>
      </c>
      <c r="G62" s="166">
        <f t="shared" si="30"/>
        <v>1437380.31</v>
      </c>
      <c r="H62" s="166">
        <f t="shared" si="30"/>
        <v>941888.1</v>
      </c>
      <c r="I62" s="288">
        <f t="shared" si="26"/>
        <v>0.65500000000000003</v>
      </c>
      <c r="J62" s="166">
        <f>J68+J104</f>
        <v>931989.56</v>
      </c>
      <c r="K62" s="288">
        <f t="shared" si="27"/>
        <v>0.64800000000000002</v>
      </c>
      <c r="L62" s="166">
        <f>L68+L104</f>
        <v>6199.72</v>
      </c>
      <c r="M62" s="166">
        <f t="shared" si="31"/>
        <v>1437380.31</v>
      </c>
      <c r="N62" s="289">
        <f t="shared" si="31"/>
        <v>0</v>
      </c>
      <c r="O62" s="290">
        <f t="shared" si="29"/>
        <v>1</v>
      </c>
      <c r="P62" s="156"/>
      <c r="Q62" s="156"/>
      <c r="R62"/>
      <c r="S62" s="157"/>
    </row>
    <row r="63" spans="1:19" s="158" customFormat="1" ht="23.25" x14ac:dyDescent="0.25">
      <c r="A63" s="291"/>
      <c r="B63" s="162" t="s">
        <v>11</v>
      </c>
      <c r="C63" s="162"/>
      <c r="D63" s="162"/>
      <c r="E63" s="162"/>
      <c r="F63" s="166">
        <f t="shared" si="30"/>
        <v>154895.75</v>
      </c>
      <c r="G63" s="166">
        <f t="shared" si="30"/>
        <v>154895.75</v>
      </c>
      <c r="H63" s="166">
        <f t="shared" si="30"/>
        <v>106507.13</v>
      </c>
      <c r="I63" s="161">
        <f t="shared" si="26"/>
        <v>0.68799999999999994</v>
      </c>
      <c r="J63" s="202">
        <f>J69+J105</f>
        <v>106507.13</v>
      </c>
      <c r="K63" s="161">
        <f t="shared" si="27"/>
        <v>0.68799999999999994</v>
      </c>
      <c r="L63" s="164">
        <f>L69+L105</f>
        <v>453.5</v>
      </c>
      <c r="M63" s="166">
        <f t="shared" si="31"/>
        <v>154895.75</v>
      </c>
      <c r="N63" s="292">
        <f t="shared" si="31"/>
        <v>0</v>
      </c>
      <c r="O63" s="293">
        <f t="shared" si="29"/>
        <v>1</v>
      </c>
      <c r="P63" s="159"/>
      <c r="Q63" s="159"/>
      <c r="R63" s="256"/>
    </row>
    <row r="64" spans="1:19" s="158" customFormat="1" ht="23.25" x14ac:dyDescent="0.25">
      <c r="A64" s="294"/>
      <c r="B64" s="194" t="s">
        <v>13</v>
      </c>
      <c r="C64" s="194"/>
      <c r="D64" s="194"/>
      <c r="E64" s="194"/>
      <c r="F64" s="202">
        <f t="shared" si="30"/>
        <v>1755.91</v>
      </c>
      <c r="G64" s="202">
        <f t="shared" si="30"/>
        <v>1755.91</v>
      </c>
      <c r="H64" s="202">
        <f t="shared" si="30"/>
        <v>0</v>
      </c>
      <c r="I64" s="295">
        <f t="shared" si="26"/>
        <v>0</v>
      </c>
      <c r="J64" s="202">
        <f>J70+J106</f>
        <v>0</v>
      </c>
      <c r="K64" s="295">
        <f t="shared" si="27"/>
        <v>0</v>
      </c>
      <c r="L64" s="202">
        <f>L70+L106</f>
        <v>0</v>
      </c>
      <c r="M64" s="202">
        <f t="shared" si="31"/>
        <v>1755.91</v>
      </c>
      <c r="N64" s="202">
        <f t="shared" si="31"/>
        <v>0</v>
      </c>
      <c r="O64" s="296">
        <f t="shared" si="29"/>
        <v>1</v>
      </c>
      <c r="P64" s="160"/>
      <c r="Q64" s="160"/>
      <c r="R64"/>
    </row>
    <row r="65" spans="1:18" s="158" customFormat="1" ht="23.25" collapsed="1" x14ac:dyDescent="0.25">
      <c r="A65" s="297"/>
      <c r="B65" s="194" t="s">
        <v>5</v>
      </c>
      <c r="C65" s="194"/>
      <c r="D65" s="194"/>
      <c r="E65" s="194"/>
      <c r="F65" s="202">
        <f t="shared" si="30"/>
        <v>0</v>
      </c>
      <c r="G65" s="202">
        <f t="shared" si="30"/>
        <v>0</v>
      </c>
      <c r="H65" s="202">
        <f t="shared" si="30"/>
        <v>0</v>
      </c>
      <c r="I65" s="295"/>
      <c r="J65" s="202"/>
      <c r="K65" s="295"/>
      <c r="L65" s="202">
        <f>L71+L107</f>
        <v>0</v>
      </c>
      <c r="M65" s="202"/>
      <c r="N65" s="202"/>
      <c r="O65" s="295"/>
      <c r="P65" s="161"/>
      <c r="Q65" s="161"/>
      <c r="R65" s="162"/>
    </row>
    <row r="66" spans="1:18" s="155" customFormat="1" ht="46.5" x14ac:dyDescent="0.25">
      <c r="A66" s="183" t="s">
        <v>145</v>
      </c>
      <c r="B66" s="184" t="s">
        <v>131</v>
      </c>
      <c r="C66" s="184"/>
      <c r="D66" s="184"/>
      <c r="E66" s="184"/>
      <c r="F66" s="185">
        <f>SUM(F67:F71)</f>
        <v>1318743.51</v>
      </c>
      <c r="G66" s="185">
        <f t="shared" ref="G66:H66" si="32">SUM(G67:G71)</f>
        <v>1585986.02</v>
      </c>
      <c r="H66" s="185">
        <f t="shared" si="32"/>
        <v>1040802.78</v>
      </c>
      <c r="I66" s="186">
        <f t="shared" si="26"/>
        <v>0.66</v>
      </c>
      <c r="J66" s="185">
        <f>SUM(J67:J71)</f>
        <v>1037260.11</v>
      </c>
      <c r="K66" s="187">
        <f t="shared" si="27"/>
        <v>0.65400000000000003</v>
      </c>
      <c r="L66" s="186">
        <f>SUM(L67:L71)</f>
        <v>0</v>
      </c>
      <c r="M66" s="185">
        <f>SUM(M67:M71)</f>
        <v>1585986.02</v>
      </c>
      <c r="N66" s="185">
        <f>G66-M66</f>
        <v>0</v>
      </c>
      <c r="O66" s="186">
        <f t="shared" si="29"/>
        <v>1</v>
      </c>
      <c r="P66" s="163"/>
      <c r="Q66" s="163"/>
      <c r="R66" s="257"/>
    </row>
    <row r="67" spans="1:18" s="158" customFormat="1" ht="23.25" x14ac:dyDescent="0.25">
      <c r="A67" s="188"/>
      <c r="B67" s="189" t="s">
        <v>4</v>
      </c>
      <c r="C67" s="189"/>
      <c r="D67" s="189"/>
      <c r="E67" s="189"/>
      <c r="F67" s="190">
        <f t="shared" ref="F67:H71" si="33">F73+F79+F85+F97</f>
        <v>0</v>
      </c>
      <c r="G67" s="190">
        <f t="shared" si="33"/>
        <v>0</v>
      </c>
      <c r="H67" s="190">
        <f t="shared" si="33"/>
        <v>0</v>
      </c>
      <c r="I67" s="191"/>
      <c r="J67" s="190"/>
      <c r="K67" s="190"/>
      <c r="L67" s="192">
        <f>L73+L79+L85+L97</f>
        <v>0</v>
      </c>
      <c r="M67" s="190"/>
      <c r="N67" s="190"/>
      <c r="O67" s="191"/>
      <c r="P67" s="165"/>
      <c r="Q67" s="165"/>
      <c r="R67"/>
    </row>
    <row r="68" spans="1:18" s="158" customFormat="1" ht="23.25" x14ac:dyDescent="0.25">
      <c r="A68" s="188"/>
      <c r="B68" s="189" t="s">
        <v>130</v>
      </c>
      <c r="C68" s="189"/>
      <c r="D68" s="189"/>
      <c r="E68" s="189"/>
      <c r="F68" s="190">
        <f>F74+F80+F86+F98</f>
        <v>1162545.3500000001</v>
      </c>
      <c r="G68" s="190">
        <f t="shared" si="33"/>
        <v>1429787.86</v>
      </c>
      <c r="H68" s="190">
        <f t="shared" si="33"/>
        <v>934295.65</v>
      </c>
      <c r="I68" s="191">
        <f t="shared" si="26"/>
        <v>0.65</v>
      </c>
      <c r="J68" s="190">
        <f>J74+J80+J86+J98</f>
        <v>930752.98</v>
      </c>
      <c r="K68" s="192">
        <f>J68/G68</f>
        <v>0.65</v>
      </c>
      <c r="L68" s="192">
        <f>L74+L80+L86+L98</f>
        <v>0</v>
      </c>
      <c r="M68" s="190">
        <f>M74+M80+M86+M98</f>
        <v>1429787.86</v>
      </c>
      <c r="N68" s="190">
        <f t="shared" ref="N68:N70" si="34">N74+N80+N86</f>
        <v>0</v>
      </c>
      <c r="O68" s="191">
        <f t="shared" si="29"/>
        <v>1</v>
      </c>
      <c r="P68" s="165"/>
      <c r="Q68" s="165"/>
      <c r="R68"/>
    </row>
    <row r="69" spans="1:18" s="158" customFormat="1" ht="23.25" x14ac:dyDescent="0.25">
      <c r="A69" s="188"/>
      <c r="B69" s="193" t="s">
        <v>11</v>
      </c>
      <c r="C69" s="189"/>
      <c r="D69" s="189"/>
      <c r="E69" s="189"/>
      <c r="F69" s="190">
        <f t="shared" si="33"/>
        <v>154442.25</v>
      </c>
      <c r="G69" s="190">
        <f t="shared" si="33"/>
        <v>154442.25</v>
      </c>
      <c r="H69" s="190">
        <f t="shared" si="33"/>
        <v>106507.13</v>
      </c>
      <c r="I69" s="191">
        <f t="shared" si="26"/>
        <v>0.69</v>
      </c>
      <c r="J69" s="190">
        <f>J75+J81+J87+J99</f>
        <v>106507.13</v>
      </c>
      <c r="K69" s="192">
        <f>J69/G69</f>
        <v>0.69</v>
      </c>
      <c r="L69" s="192">
        <f>L75+L81+L87+L99</f>
        <v>0</v>
      </c>
      <c r="M69" s="190">
        <f>M75+M81+M87+M99</f>
        <v>154442.25</v>
      </c>
      <c r="N69" s="190">
        <f t="shared" si="34"/>
        <v>0</v>
      </c>
      <c r="O69" s="191">
        <f t="shared" si="29"/>
        <v>1</v>
      </c>
      <c r="P69" s="165"/>
      <c r="Q69" s="165"/>
      <c r="R69"/>
    </row>
    <row r="70" spans="1:18" s="158" customFormat="1" ht="23.25" x14ac:dyDescent="0.25">
      <c r="A70" s="188"/>
      <c r="B70" s="194" t="s">
        <v>13</v>
      </c>
      <c r="C70" s="195"/>
      <c r="D70" s="195"/>
      <c r="E70" s="195"/>
      <c r="F70" s="190">
        <f t="shared" si="33"/>
        <v>1755.91</v>
      </c>
      <c r="G70" s="190">
        <f t="shared" si="33"/>
        <v>1755.91</v>
      </c>
      <c r="H70" s="190">
        <f t="shared" si="33"/>
        <v>0</v>
      </c>
      <c r="I70" s="191">
        <f t="shared" si="26"/>
        <v>0</v>
      </c>
      <c r="J70" s="190">
        <f>J76+J82+J88+J100</f>
        <v>0</v>
      </c>
      <c r="K70" s="192">
        <f>J70/G70</f>
        <v>0</v>
      </c>
      <c r="L70" s="192"/>
      <c r="M70" s="190">
        <f>M76+M82+M88+M100</f>
        <v>1755.91</v>
      </c>
      <c r="N70" s="190">
        <f t="shared" si="34"/>
        <v>0</v>
      </c>
      <c r="O70" s="191">
        <f t="shared" si="29"/>
        <v>1</v>
      </c>
      <c r="P70" s="165"/>
      <c r="Q70" s="165"/>
      <c r="R70"/>
    </row>
    <row r="71" spans="1:18" s="158" customFormat="1" ht="23.25" collapsed="1" x14ac:dyDescent="0.25">
      <c r="A71" s="196"/>
      <c r="B71" s="193" t="s">
        <v>5</v>
      </c>
      <c r="C71" s="189"/>
      <c r="D71" s="189"/>
      <c r="E71" s="189"/>
      <c r="F71" s="190">
        <f t="shared" si="33"/>
        <v>0</v>
      </c>
      <c r="G71" s="190">
        <f t="shared" si="33"/>
        <v>0</v>
      </c>
      <c r="H71" s="190">
        <f t="shared" si="33"/>
        <v>0</v>
      </c>
      <c r="I71" s="191"/>
      <c r="J71" s="190"/>
      <c r="K71" s="190"/>
      <c r="L71" s="192"/>
      <c r="M71" s="190"/>
      <c r="N71" s="190"/>
      <c r="O71" s="191"/>
      <c r="P71" s="165"/>
      <c r="Q71" s="165"/>
      <c r="R71"/>
    </row>
    <row r="72" spans="1:18" s="155" customFormat="1" ht="162.75" x14ac:dyDescent="0.25">
      <c r="A72" s="197" t="s">
        <v>146</v>
      </c>
      <c r="B72" s="198" t="s">
        <v>132</v>
      </c>
      <c r="C72" s="198"/>
      <c r="D72" s="198"/>
      <c r="E72" s="198"/>
      <c r="F72" s="199">
        <f>SUM(F73:F77)</f>
        <v>182502.84</v>
      </c>
      <c r="G72" s="199">
        <f t="shared" ref="G72:H72" si="35">SUM(G73:G77)</f>
        <v>353928.93</v>
      </c>
      <c r="H72" s="199">
        <f t="shared" si="35"/>
        <v>48082.22</v>
      </c>
      <c r="I72" s="200">
        <f t="shared" si="26"/>
        <v>0.14000000000000001</v>
      </c>
      <c r="J72" s="199">
        <f>SUM(J73:J77)</f>
        <v>48082.22</v>
      </c>
      <c r="K72" s="200">
        <f t="shared" ref="K72:K111" si="36">J72/G72</f>
        <v>0.14000000000000001</v>
      </c>
      <c r="L72" s="200"/>
      <c r="M72" s="199">
        <f t="shared" ref="M72" si="37">SUM(M73:M77)</f>
        <v>353928.93</v>
      </c>
      <c r="N72" s="199">
        <f t="shared" ref="N72:N133" si="38">G72-M72</f>
        <v>0</v>
      </c>
      <c r="O72" s="200">
        <f t="shared" si="29"/>
        <v>1</v>
      </c>
      <c r="P72" s="246" t="s">
        <v>169</v>
      </c>
      <c r="Q72" s="167"/>
      <c r="R72" s="253"/>
    </row>
    <row r="73" spans="1:18" s="158" customFormat="1" ht="23.25" x14ac:dyDescent="0.25">
      <c r="A73" s="201"/>
      <c r="B73" s="193" t="s">
        <v>4</v>
      </c>
      <c r="C73" s="193"/>
      <c r="D73" s="193"/>
      <c r="E73" s="193"/>
      <c r="F73" s="202"/>
      <c r="G73" s="203"/>
      <c r="H73" s="202"/>
      <c r="I73" s="192"/>
      <c r="J73" s="202"/>
      <c r="K73" s="192"/>
      <c r="L73" s="192"/>
      <c r="M73" s="203"/>
      <c r="N73" s="202"/>
      <c r="O73" s="192"/>
      <c r="P73" s="169"/>
      <c r="Q73" s="169"/>
      <c r="R73"/>
    </row>
    <row r="74" spans="1:18" s="158" customFormat="1" ht="23.25" x14ac:dyDescent="0.25">
      <c r="A74" s="201"/>
      <c r="B74" s="193" t="s">
        <v>130</v>
      </c>
      <c r="C74" s="193"/>
      <c r="D74" s="193"/>
      <c r="E74" s="193"/>
      <c r="F74" s="202">
        <v>162427.53</v>
      </c>
      <c r="G74" s="202">
        <v>333853.62</v>
      </c>
      <c r="H74" s="202">
        <v>48019.7</v>
      </c>
      <c r="I74" s="192">
        <f t="shared" si="26"/>
        <v>0.14000000000000001</v>
      </c>
      <c r="J74" s="202">
        <v>48019.7</v>
      </c>
      <c r="K74" s="192">
        <f t="shared" si="36"/>
        <v>0.14000000000000001</v>
      </c>
      <c r="L74" s="192"/>
      <c r="M74" s="202">
        <f>G74</f>
        <v>333853.62</v>
      </c>
      <c r="N74" s="202">
        <f t="shared" si="38"/>
        <v>0</v>
      </c>
      <c r="O74" s="192">
        <f t="shared" si="29"/>
        <v>1</v>
      </c>
      <c r="P74" s="169"/>
      <c r="Q74" s="169"/>
      <c r="R74"/>
    </row>
    <row r="75" spans="1:18" s="158" customFormat="1" ht="23.25" x14ac:dyDescent="0.25">
      <c r="A75" s="201"/>
      <c r="B75" s="193" t="s">
        <v>133</v>
      </c>
      <c r="C75" s="193"/>
      <c r="D75" s="193"/>
      <c r="E75" s="193"/>
      <c r="F75" s="202">
        <v>20075.310000000001</v>
      </c>
      <c r="G75" s="202">
        <v>20075.310000000001</v>
      </c>
      <c r="H75" s="202">
        <v>62.52</v>
      </c>
      <c r="I75" s="192">
        <f t="shared" si="26"/>
        <v>0</v>
      </c>
      <c r="J75" s="202">
        <v>62.52</v>
      </c>
      <c r="K75" s="192">
        <f t="shared" si="36"/>
        <v>0</v>
      </c>
      <c r="L75" s="192"/>
      <c r="M75" s="202">
        <f>G75</f>
        <v>20075.310000000001</v>
      </c>
      <c r="N75" s="202">
        <f t="shared" si="38"/>
        <v>0</v>
      </c>
      <c r="O75" s="192">
        <f t="shared" si="29"/>
        <v>1</v>
      </c>
      <c r="P75" s="169"/>
      <c r="Q75" s="169"/>
      <c r="R75"/>
    </row>
    <row r="76" spans="1:18" s="158" customFormat="1" ht="23.25" x14ac:dyDescent="0.25">
      <c r="A76" s="201"/>
      <c r="B76" s="189" t="s">
        <v>13</v>
      </c>
      <c r="C76" s="189"/>
      <c r="D76" s="189"/>
      <c r="E76" s="189"/>
      <c r="F76" s="190"/>
      <c r="G76" s="190"/>
      <c r="H76" s="190"/>
      <c r="I76" s="192"/>
      <c r="J76" s="190"/>
      <c r="K76" s="192"/>
      <c r="L76" s="192"/>
      <c r="M76" s="204"/>
      <c r="N76" s="202"/>
      <c r="O76" s="192"/>
      <c r="P76" s="169"/>
      <c r="Q76" s="169"/>
      <c r="R76"/>
    </row>
    <row r="77" spans="1:18" s="158" customFormat="1" ht="23.25" collapsed="1" x14ac:dyDescent="0.25">
      <c r="A77" s="205"/>
      <c r="B77" s="193" t="s">
        <v>5</v>
      </c>
      <c r="C77" s="193"/>
      <c r="D77" s="193"/>
      <c r="E77" s="193"/>
      <c r="F77" s="202"/>
      <c r="G77" s="203"/>
      <c r="H77" s="202"/>
      <c r="I77" s="192"/>
      <c r="J77" s="202"/>
      <c r="K77" s="192"/>
      <c r="L77" s="192"/>
      <c r="M77" s="203"/>
      <c r="N77" s="202"/>
      <c r="O77" s="192"/>
      <c r="P77" s="165"/>
      <c r="Q77" s="165"/>
      <c r="R77"/>
    </row>
    <row r="78" spans="1:18" s="155" customFormat="1" ht="93" x14ac:dyDescent="0.25">
      <c r="A78" s="197" t="s">
        <v>147</v>
      </c>
      <c r="B78" s="198" t="s">
        <v>134</v>
      </c>
      <c r="C78" s="198"/>
      <c r="D78" s="198"/>
      <c r="E78" s="198"/>
      <c r="F78" s="199">
        <f t="shared" ref="F78:H78" si="39">SUM(F79:F83)</f>
        <v>68734.539999999994</v>
      </c>
      <c r="G78" s="199">
        <f t="shared" si="39"/>
        <v>164550.96</v>
      </c>
      <c r="H78" s="199">
        <f t="shared" si="39"/>
        <v>37973.94</v>
      </c>
      <c r="I78" s="200">
        <f t="shared" si="26"/>
        <v>0.23</v>
      </c>
      <c r="J78" s="199">
        <f>SUM(J79:J83)</f>
        <v>34431.269999999997</v>
      </c>
      <c r="K78" s="200">
        <f t="shared" si="36"/>
        <v>0.21</v>
      </c>
      <c r="L78" s="200"/>
      <c r="M78" s="199">
        <f>SUM(M79:M83)</f>
        <v>164550.96</v>
      </c>
      <c r="N78" s="199">
        <f t="shared" si="38"/>
        <v>0</v>
      </c>
      <c r="O78" s="200">
        <f t="shared" si="29"/>
        <v>1</v>
      </c>
      <c r="P78" s="246" t="s">
        <v>170</v>
      </c>
      <c r="Q78" s="167"/>
      <c r="R78" s="258"/>
    </row>
    <row r="79" spans="1:18" s="158" customFormat="1" ht="23.25" x14ac:dyDescent="0.25">
      <c r="A79" s="201"/>
      <c r="B79" s="193" t="s">
        <v>4</v>
      </c>
      <c r="C79" s="193"/>
      <c r="D79" s="193"/>
      <c r="E79" s="193"/>
      <c r="F79" s="202"/>
      <c r="G79" s="203"/>
      <c r="H79" s="202"/>
      <c r="I79" s="192"/>
      <c r="J79" s="202"/>
      <c r="K79" s="192"/>
      <c r="L79" s="192"/>
      <c r="M79" s="202"/>
      <c r="N79" s="202"/>
      <c r="O79" s="192"/>
      <c r="P79" s="169"/>
      <c r="Q79" s="169"/>
      <c r="R79"/>
    </row>
    <row r="80" spans="1:18" s="158" customFormat="1" ht="23.25" x14ac:dyDescent="0.25">
      <c r="A80" s="201"/>
      <c r="B80" s="193" t="s">
        <v>130</v>
      </c>
      <c r="C80" s="193"/>
      <c r="D80" s="193"/>
      <c r="E80" s="193"/>
      <c r="F80" s="202">
        <v>56665.82</v>
      </c>
      <c r="G80" s="202">
        <v>152482.23999999999</v>
      </c>
      <c r="H80" s="202">
        <v>31626.26</v>
      </c>
      <c r="I80" s="192">
        <f t="shared" si="26"/>
        <v>0.21</v>
      </c>
      <c r="J80" s="202">
        <v>28083.59</v>
      </c>
      <c r="K80" s="192">
        <f t="shared" si="36"/>
        <v>0.18</v>
      </c>
      <c r="L80" s="192"/>
      <c r="M80" s="202">
        <f>G80</f>
        <v>152482.23999999999</v>
      </c>
      <c r="N80" s="202">
        <f t="shared" si="38"/>
        <v>0</v>
      </c>
      <c r="O80" s="192">
        <f t="shared" si="29"/>
        <v>1</v>
      </c>
      <c r="P80" s="165"/>
      <c r="Q80" s="165"/>
      <c r="R80"/>
    </row>
    <row r="81" spans="1:18" s="158" customFormat="1" ht="23.25" x14ac:dyDescent="0.25">
      <c r="A81" s="201"/>
      <c r="B81" s="189" t="s">
        <v>133</v>
      </c>
      <c r="C81" s="189"/>
      <c r="D81" s="189"/>
      <c r="E81" s="189"/>
      <c r="F81" s="190">
        <v>12068.72</v>
      </c>
      <c r="G81" s="190">
        <f>25298.77-13230.05</f>
        <v>12068.72</v>
      </c>
      <c r="H81" s="190">
        <f>J81</f>
        <v>6347.68</v>
      </c>
      <c r="I81" s="191">
        <f t="shared" si="26"/>
        <v>0.53</v>
      </c>
      <c r="J81" s="190">
        <f>6165.02+182.66</f>
        <v>6347.68</v>
      </c>
      <c r="K81" s="191">
        <f t="shared" si="36"/>
        <v>0.53</v>
      </c>
      <c r="L81" s="191"/>
      <c r="M81" s="202">
        <f>G81</f>
        <v>12068.72</v>
      </c>
      <c r="N81" s="190">
        <f t="shared" si="38"/>
        <v>0</v>
      </c>
      <c r="O81" s="191">
        <f t="shared" si="29"/>
        <v>1</v>
      </c>
      <c r="P81" s="165"/>
      <c r="Q81" s="165"/>
      <c r="R81"/>
    </row>
    <row r="82" spans="1:18" s="158" customFormat="1" ht="23.25" x14ac:dyDescent="0.25">
      <c r="A82" s="201"/>
      <c r="B82" s="189" t="s">
        <v>13</v>
      </c>
      <c r="C82" s="189"/>
      <c r="D82" s="189"/>
      <c r="E82" s="189"/>
      <c r="F82" s="190"/>
      <c r="G82" s="204"/>
      <c r="H82" s="190"/>
      <c r="I82" s="191"/>
      <c r="J82" s="190"/>
      <c r="K82" s="191"/>
      <c r="L82" s="191"/>
      <c r="M82" s="190"/>
      <c r="N82" s="190"/>
      <c r="O82" s="191"/>
      <c r="P82" s="169"/>
      <c r="Q82" s="169"/>
      <c r="R82"/>
    </row>
    <row r="83" spans="1:18" s="158" customFormat="1" ht="23.25" collapsed="1" x14ac:dyDescent="0.25">
      <c r="A83" s="205"/>
      <c r="B83" s="189" t="s">
        <v>5</v>
      </c>
      <c r="C83" s="189"/>
      <c r="D83" s="189"/>
      <c r="E83" s="189"/>
      <c r="F83" s="190"/>
      <c r="G83" s="204"/>
      <c r="H83" s="190"/>
      <c r="I83" s="191"/>
      <c r="J83" s="190"/>
      <c r="K83" s="191"/>
      <c r="L83" s="191"/>
      <c r="M83" s="190"/>
      <c r="N83" s="190"/>
      <c r="O83" s="191"/>
      <c r="P83" s="165"/>
      <c r="Q83" s="165"/>
      <c r="R83"/>
    </row>
    <row r="84" spans="1:18" s="155" customFormat="1" ht="93" x14ac:dyDescent="0.25">
      <c r="A84" s="197" t="s">
        <v>148</v>
      </c>
      <c r="B84" s="198" t="s">
        <v>135</v>
      </c>
      <c r="C84" s="198"/>
      <c r="D84" s="198"/>
      <c r="E84" s="198"/>
      <c r="F84" s="199">
        <f t="shared" ref="F84:H84" si="40">SUM(F85:F89)</f>
        <v>143570.91</v>
      </c>
      <c r="G84" s="199">
        <f t="shared" si="40"/>
        <v>143570.91</v>
      </c>
      <c r="H84" s="199">
        <f t="shared" si="40"/>
        <v>30812.11</v>
      </c>
      <c r="I84" s="200">
        <f t="shared" si="26"/>
        <v>0.21</v>
      </c>
      <c r="J84" s="199">
        <f>SUM(J85:J89)</f>
        <v>30812.11</v>
      </c>
      <c r="K84" s="200">
        <f t="shared" si="36"/>
        <v>0.21</v>
      </c>
      <c r="L84" s="200"/>
      <c r="M84" s="199">
        <f>SUM(M85:M89)</f>
        <v>143570.91</v>
      </c>
      <c r="N84" s="199">
        <f t="shared" si="38"/>
        <v>0</v>
      </c>
      <c r="O84" s="200">
        <f t="shared" si="29"/>
        <v>1</v>
      </c>
      <c r="P84" s="167"/>
      <c r="Q84" s="167"/>
      <c r="R84" s="253"/>
    </row>
    <row r="85" spans="1:18" s="158" customFormat="1" ht="23.25" x14ac:dyDescent="0.25">
      <c r="A85" s="201"/>
      <c r="B85" s="193" t="s">
        <v>4</v>
      </c>
      <c r="C85" s="193"/>
      <c r="D85" s="193"/>
      <c r="E85" s="193"/>
      <c r="F85" s="202">
        <f>F91</f>
        <v>0</v>
      </c>
      <c r="G85" s="202">
        <f t="shared" ref="G85:H86" si="41">G91</f>
        <v>0</v>
      </c>
      <c r="H85" s="202">
        <f t="shared" si="41"/>
        <v>0</v>
      </c>
      <c r="I85" s="192"/>
      <c r="J85" s="202"/>
      <c r="K85" s="192"/>
      <c r="L85" s="192"/>
      <c r="M85" s="202"/>
      <c r="N85" s="202"/>
      <c r="O85" s="192"/>
      <c r="P85" s="169"/>
      <c r="Q85" s="169"/>
      <c r="R85"/>
    </row>
    <row r="86" spans="1:18" s="158" customFormat="1" ht="23.25" x14ac:dyDescent="0.25">
      <c r="A86" s="201"/>
      <c r="B86" s="193" t="s">
        <v>130</v>
      </c>
      <c r="C86" s="193"/>
      <c r="D86" s="193"/>
      <c r="E86" s="193"/>
      <c r="F86" s="202">
        <f>F92</f>
        <v>113452</v>
      </c>
      <c r="G86" s="202">
        <f t="shared" si="41"/>
        <v>113452</v>
      </c>
      <c r="H86" s="202">
        <f t="shared" si="41"/>
        <v>24649.69</v>
      </c>
      <c r="I86" s="206">
        <f t="shared" si="26"/>
        <v>0.217</v>
      </c>
      <c r="J86" s="202">
        <f t="shared" ref="J86:J88" si="42">J92</f>
        <v>24649.69</v>
      </c>
      <c r="K86" s="206">
        <f t="shared" si="36"/>
        <v>0.217</v>
      </c>
      <c r="L86" s="192"/>
      <c r="M86" s="202">
        <f t="shared" ref="M86:M88" si="43">M92</f>
        <v>113452</v>
      </c>
      <c r="N86" s="202">
        <f t="shared" si="38"/>
        <v>0</v>
      </c>
      <c r="O86" s="192">
        <f t="shared" si="29"/>
        <v>1</v>
      </c>
      <c r="P86" s="169"/>
      <c r="Q86" s="169"/>
      <c r="R86"/>
    </row>
    <row r="87" spans="1:18" s="158" customFormat="1" ht="23.25" x14ac:dyDescent="0.25">
      <c r="A87" s="201"/>
      <c r="B87" s="193" t="s">
        <v>133</v>
      </c>
      <c r="C87" s="193"/>
      <c r="D87" s="193"/>
      <c r="E87" s="193"/>
      <c r="F87" s="202">
        <f t="shared" ref="F87:H89" si="44">F93</f>
        <v>28363</v>
      </c>
      <c r="G87" s="202">
        <f t="shared" si="44"/>
        <v>28363</v>
      </c>
      <c r="H87" s="202">
        <f t="shared" si="44"/>
        <v>6162.42</v>
      </c>
      <c r="I87" s="192">
        <f t="shared" si="26"/>
        <v>0.22</v>
      </c>
      <c r="J87" s="202">
        <f t="shared" si="42"/>
        <v>6162.42</v>
      </c>
      <c r="K87" s="192">
        <f t="shared" si="36"/>
        <v>0.22</v>
      </c>
      <c r="L87" s="192"/>
      <c r="M87" s="202">
        <f t="shared" si="43"/>
        <v>28363</v>
      </c>
      <c r="N87" s="202">
        <f t="shared" si="38"/>
        <v>0</v>
      </c>
      <c r="O87" s="192">
        <f t="shared" si="29"/>
        <v>1</v>
      </c>
      <c r="P87" s="169"/>
      <c r="Q87" s="169"/>
      <c r="R87"/>
    </row>
    <row r="88" spans="1:18" s="158" customFormat="1" ht="23.25" x14ac:dyDescent="0.25">
      <c r="A88" s="201"/>
      <c r="B88" s="189" t="s">
        <v>13</v>
      </c>
      <c r="C88" s="189"/>
      <c r="D88" s="189"/>
      <c r="E88" s="189"/>
      <c r="F88" s="202">
        <f t="shared" si="44"/>
        <v>1755.91</v>
      </c>
      <c r="G88" s="202">
        <f t="shared" si="44"/>
        <v>1755.91</v>
      </c>
      <c r="H88" s="202">
        <f t="shared" si="44"/>
        <v>0</v>
      </c>
      <c r="I88" s="192">
        <f t="shared" si="26"/>
        <v>0</v>
      </c>
      <c r="J88" s="202">
        <f t="shared" si="42"/>
        <v>0</v>
      </c>
      <c r="K88" s="192">
        <f t="shared" si="36"/>
        <v>0</v>
      </c>
      <c r="L88" s="192"/>
      <c r="M88" s="202">
        <f t="shared" si="43"/>
        <v>1755.91</v>
      </c>
      <c r="N88" s="202">
        <f t="shared" si="38"/>
        <v>0</v>
      </c>
      <c r="O88" s="192">
        <f t="shared" si="29"/>
        <v>1</v>
      </c>
      <c r="P88" s="169"/>
      <c r="Q88" s="169"/>
      <c r="R88"/>
    </row>
    <row r="89" spans="1:18" s="158" customFormat="1" ht="23.25" collapsed="1" x14ac:dyDescent="0.25">
      <c r="A89" s="205"/>
      <c r="B89" s="193" t="s">
        <v>5</v>
      </c>
      <c r="C89" s="193"/>
      <c r="D89" s="193"/>
      <c r="E89" s="193"/>
      <c r="F89" s="202">
        <f t="shared" si="44"/>
        <v>0</v>
      </c>
      <c r="G89" s="202">
        <f t="shared" si="44"/>
        <v>0</v>
      </c>
      <c r="H89" s="202">
        <f t="shared" si="44"/>
        <v>0</v>
      </c>
      <c r="I89" s="192"/>
      <c r="J89" s="202"/>
      <c r="K89" s="192"/>
      <c r="L89" s="192"/>
      <c r="M89" s="202"/>
      <c r="N89" s="202"/>
      <c r="O89" s="192"/>
      <c r="P89" s="165"/>
      <c r="Q89" s="165"/>
      <c r="R89"/>
    </row>
    <row r="90" spans="1:18" s="170" customFormat="1" ht="186" x14ac:dyDescent="0.25">
      <c r="A90" s="197" t="s">
        <v>149</v>
      </c>
      <c r="B90" s="198" t="s">
        <v>136</v>
      </c>
      <c r="C90" s="198"/>
      <c r="D90" s="198"/>
      <c r="E90" s="198"/>
      <c r="F90" s="199">
        <f t="shared" ref="F90:H90" si="45">SUM(F91:F95)</f>
        <v>143570.91</v>
      </c>
      <c r="G90" s="199">
        <f t="shared" si="45"/>
        <v>143570.91</v>
      </c>
      <c r="H90" s="199">
        <f t="shared" si="45"/>
        <v>30812.11</v>
      </c>
      <c r="I90" s="200">
        <f t="shared" si="26"/>
        <v>0.21</v>
      </c>
      <c r="J90" s="199">
        <f>SUM(J91:J95)</f>
        <v>30812.11</v>
      </c>
      <c r="K90" s="200">
        <f t="shared" si="36"/>
        <v>0.21</v>
      </c>
      <c r="L90" s="200"/>
      <c r="M90" s="199">
        <f>SUM(M91:M95)</f>
        <v>143570.91</v>
      </c>
      <c r="N90" s="199">
        <f t="shared" si="38"/>
        <v>0</v>
      </c>
      <c r="O90" s="200">
        <f t="shared" si="29"/>
        <v>1</v>
      </c>
      <c r="P90" s="246" t="s">
        <v>171</v>
      </c>
      <c r="Q90" s="167"/>
      <c r="R90" s="253"/>
    </row>
    <row r="91" spans="1:18" s="158" customFormat="1" ht="23.25" x14ac:dyDescent="0.25">
      <c r="A91" s="201"/>
      <c r="B91" s="193" t="s">
        <v>4</v>
      </c>
      <c r="C91" s="193"/>
      <c r="D91" s="193"/>
      <c r="E91" s="193"/>
      <c r="F91" s="202"/>
      <c r="G91" s="203"/>
      <c r="H91" s="202"/>
      <c r="I91" s="192"/>
      <c r="J91" s="202"/>
      <c r="K91" s="192"/>
      <c r="L91" s="192"/>
      <c r="M91" s="202"/>
      <c r="N91" s="202"/>
      <c r="O91" s="192"/>
      <c r="P91" s="169"/>
      <c r="Q91" s="169"/>
      <c r="R91"/>
    </row>
    <row r="92" spans="1:18" s="158" customFormat="1" ht="23.25" x14ac:dyDescent="0.25">
      <c r="A92" s="201"/>
      <c r="B92" s="193" t="s">
        <v>130</v>
      </c>
      <c r="C92" s="193"/>
      <c r="D92" s="193"/>
      <c r="E92" s="193"/>
      <c r="F92" s="202">
        <v>113452</v>
      </c>
      <c r="G92" s="202">
        <v>113452</v>
      </c>
      <c r="H92" s="202">
        <v>24649.69</v>
      </c>
      <c r="I92" s="206">
        <f t="shared" ref="I92:I111" si="46">H92/G92</f>
        <v>0.217</v>
      </c>
      <c r="J92" s="202">
        <f>H92</f>
        <v>24649.69</v>
      </c>
      <c r="K92" s="206">
        <f t="shared" si="36"/>
        <v>0.217</v>
      </c>
      <c r="L92" s="192"/>
      <c r="M92" s="202">
        <f>G92</f>
        <v>113452</v>
      </c>
      <c r="N92" s="202">
        <f t="shared" si="38"/>
        <v>0</v>
      </c>
      <c r="O92" s="192">
        <f t="shared" si="29"/>
        <v>1</v>
      </c>
      <c r="P92" s="169"/>
      <c r="Q92" s="169"/>
      <c r="R92"/>
    </row>
    <row r="93" spans="1:18" s="158" customFormat="1" ht="23.25" x14ac:dyDescent="0.25">
      <c r="A93" s="201"/>
      <c r="B93" s="193" t="s">
        <v>133</v>
      </c>
      <c r="C93" s="193"/>
      <c r="D93" s="193"/>
      <c r="E93" s="193"/>
      <c r="F93" s="202">
        <v>28363</v>
      </c>
      <c r="G93" s="202">
        <v>28363</v>
      </c>
      <c r="H93" s="202">
        <f>J93</f>
        <v>6162.42</v>
      </c>
      <c r="I93" s="192">
        <f t="shared" si="46"/>
        <v>0.22</v>
      </c>
      <c r="J93" s="202">
        <v>6162.42</v>
      </c>
      <c r="K93" s="192">
        <f t="shared" si="36"/>
        <v>0.22</v>
      </c>
      <c r="L93" s="192"/>
      <c r="M93" s="202">
        <f>G93</f>
        <v>28363</v>
      </c>
      <c r="N93" s="202">
        <f t="shared" si="38"/>
        <v>0</v>
      </c>
      <c r="O93" s="192">
        <f t="shared" si="29"/>
        <v>1</v>
      </c>
      <c r="P93" s="169"/>
      <c r="Q93" s="169"/>
      <c r="R93"/>
    </row>
    <row r="94" spans="1:18" s="158" customFormat="1" ht="23.25" x14ac:dyDescent="0.25">
      <c r="A94" s="201"/>
      <c r="B94" s="189" t="s">
        <v>13</v>
      </c>
      <c r="C94" s="189"/>
      <c r="D94" s="189"/>
      <c r="E94" s="189"/>
      <c r="F94" s="190">
        <v>1755.91</v>
      </c>
      <c r="G94" s="190">
        <v>1755.91</v>
      </c>
      <c r="H94" s="190"/>
      <c r="I94" s="192">
        <f t="shared" si="46"/>
        <v>0</v>
      </c>
      <c r="J94" s="190"/>
      <c r="K94" s="192">
        <f t="shared" si="36"/>
        <v>0</v>
      </c>
      <c r="L94" s="192"/>
      <c r="M94" s="202">
        <f>G94</f>
        <v>1755.91</v>
      </c>
      <c r="N94" s="202">
        <f t="shared" si="38"/>
        <v>0</v>
      </c>
      <c r="O94" s="192">
        <f t="shared" si="29"/>
        <v>1</v>
      </c>
      <c r="P94" s="169"/>
      <c r="Q94" s="169"/>
      <c r="R94"/>
    </row>
    <row r="95" spans="1:18" s="158" customFormat="1" ht="23.25" collapsed="1" x14ac:dyDescent="0.25">
      <c r="A95" s="205"/>
      <c r="B95" s="193" t="s">
        <v>5</v>
      </c>
      <c r="C95" s="193"/>
      <c r="D95" s="193"/>
      <c r="E95" s="193"/>
      <c r="F95" s="202"/>
      <c r="G95" s="203"/>
      <c r="H95" s="202"/>
      <c r="I95" s="192"/>
      <c r="J95" s="202"/>
      <c r="K95" s="192"/>
      <c r="L95" s="192"/>
      <c r="M95" s="202"/>
      <c r="N95" s="202"/>
      <c r="O95" s="192"/>
      <c r="P95" s="165"/>
      <c r="Q95" s="165"/>
      <c r="R95"/>
    </row>
    <row r="96" spans="1:18" s="158" customFormat="1" ht="139.5" x14ac:dyDescent="0.25">
      <c r="A96" s="201" t="s">
        <v>150</v>
      </c>
      <c r="B96" s="207" t="s">
        <v>137</v>
      </c>
      <c r="C96" s="207"/>
      <c r="D96" s="207"/>
      <c r="E96" s="207"/>
      <c r="F96" s="199">
        <f>SUM(F97:F101)</f>
        <v>923935.22</v>
      </c>
      <c r="G96" s="199">
        <f>SUM(G97:G101)</f>
        <v>923935.22</v>
      </c>
      <c r="H96" s="199">
        <f>SUM(H97:H101)</f>
        <v>923934.51</v>
      </c>
      <c r="I96" s="200">
        <f t="shared" si="46"/>
        <v>1</v>
      </c>
      <c r="J96" s="199">
        <f>SUM(J97:J101)</f>
        <v>923934.51</v>
      </c>
      <c r="K96" s="200">
        <f t="shared" si="36"/>
        <v>1</v>
      </c>
      <c r="L96" s="200"/>
      <c r="M96" s="199">
        <f>SUM(M97:M101)</f>
        <v>923935.22</v>
      </c>
      <c r="N96" s="199">
        <f t="shared" si="38"/>
        <v>0</v>
      </c>
      <c r="O96" s="200">
        <f t="shared" si="29"/>
        <v>1</v>
      </c>
      <c r="P96" s="246" t="s">
        <v>159</v>
      </c>
      <c r="Q96" s="169"/>
      <c r="R96" s="254"/>
    </row>
    <row r="97" spans="1:18" s="158" customFormat="1" ht="23.25" x14ac:dyDescent="0.25">
      <c r="A97" s="201"/>
      <c r="B97" s="193" t="s">
        <v>4</v>
      </c>
      <c r="C97" s="193"/>
      <c r="D97" s="193"/>
      <c r="E97" s="193"/>
      <c r="F97" s="202"/>
      <c r="G97" s="202"/>
      <c r="H97" s="202"/>
      <c r="I97" s="192"/>
      <c r="J97" s="202"/>
      <c r="K97" s="192"/>
      <c r="L97" s="192"/>
      <c r="M97" s="202"/>
      <c r="N97" s="202"/>
      <c r="O97" s="192"/>
      <c r="P97" s="169"/>
      <c r="Q97" s="169"/>
      <c r="R97" s="254"/>
    </row>
    <row r="98" spans="1:18" s="158" customFormat="1" ht="23.25" x14ac:dyDescent="0.25">
      <c r="A98" s="201"/>
      <c r="B98" s="193" t="s">
        <v>130</v>
      </c>
      <c r="C98" s="193"/>
      <c r="D98" s="193"/>
      <c r="E98" s="193"/>
      <c r="F98" s="202">
        <v>830000</v>
      </c>
      <c r="G98" s="202">
        <v>830000</v>
      </c>
      <c r="H98" s="202">
        <f>J98</f>
        <v>830000</v>
      </c>
      <c r="I98" s="192">
        <f t="shared" si="46"/>
        <v>1</v>
      </c>
      <c r="J98" s="202">
        <v>830000</v>
      </c>
      <c r="K98" s="192">
        <f t="shared" si="36"/>
        <v>1</v>
      </c>
      <c r="L98" s="192"/>
      <c r="M98" s="202">
        <f>G98</f>
        <v>830000</v>
      </c>
      <c r="N98" s="202">
        <f t="shared" si="38"/>
        <v>0</v>
      </c>
      <c r="O98" s="192">
        <f t="shared" si="29"/>
        <v>1</v>
      </c>
      <c r="P98" s="169"/>
      <c r="Q98" s="169"/>
      <c r="R98" s="254"/>
    </row>
    <row r="99" spans="1:18" s="158" customFormat="1" ht="23.25" x14ac:dyDescent="0.25">
      <c r="A99" s="201"/>
      <c r="B99" s="193" t="s">
        <v>133</v>
      </c>
      <c r="C99" s="193"/>
      <c r="D99" s="193"/>
      <c r="E99" s="193"/>
      <c r="F99" s="202">
        <v>93935.22</v>
      </c>
      <c r="G99" s="202">
        <v>93935.22</v>
      </c>
      <c r="H99" s="202">
        <f>J99</f>
        <v>93934.51</v>
      </c>
      <c r="I99" s="192">
        <f t="shared" si="46"/>
        <v>1</v>
      </c>
      <c r="J99" s="202">
        <v>93934.51</v>
      </c>
      <c r="K99" s="192">
        <f t="shared" si="36"/>
        <v>1</v>
      </c>
      <c r="L99" s="192"/>
      <c r="M99" s="202">
        <f>G99</f>
        <v>93935.22</v>
      </c>
      <c r="N99" s="202">
        <f t="shared" si="38"/>
        <v>0</v>
      </c>
      <c r="O99" s="192">
        <f t="shared" si="29"/>
        <v>1</v>
      </c>
      <c r="P99" s="169"/>
      <c r="Q99" s="169"/>
      <c r="R99" s="254"/>
    </row>
    <row r="100" spans="1:18" s="158" customFormat="1" ht="23.25" x14ac:dyDescent="0.25">
      <c r="A100" s="201"/>
      <c r="B100" s="189" t="s">
        <v>13</v>
      </c>
      <c r="C100" s="189"/>
      <c r="D100" s="189"/>
      <c r="E100" s="189"/>
      <c r="F100" s="202"/>
      <c r="G100" s="202"/>
      <c r="H100" s="202"/>
      <c r="I100" s="192"/>
      <c r="J100" s="202"/>
      <c r="K100" s="192"/>
      <c r="L100" s="192"/>
      <c r="M100" s="202"/>
      <c r="N100" s="202"/>
      <c r="O100" s="192"/>
      <c r="P100" s="169"/>
      <c r="Q100" s="169"/>
      <c r="R100" s="254"/>
    </row>
    <row r="101" spans="1:18" s="158" customFormat="1" ht="23.25" x14ac:dyDescent="0.25">
      <c r="A101" s="201"/>
      <c r="B101" s="193" t="s">
        <v>5</v>
      </c>
      <c r="C101" s="193"/>
      <c r="D101" s="193"/>
      <c r="E101" s="193"/>
      <c r="F101" s="202"/>
      <c r="G101" s="202"/>
      <c r="H101" s="202"/>
      <c r="I101" s="192"/>
      <c r="J101" s="202"/>
      <c r="K101" s="192"/>
      <c r="L101" s="192"/>
      <c r="M101" s="202"/>
      <c r="N101" s="202"/>
      <c r="O101" s="192"/>
      <c r="P101" s="169"/>
      <c r="Q101" s="169"/>
      <c r="R101" s="254"/>
    </row>
    <row r="102" spans="1:18" s="155" customFormat="1" ht="98.25" customHeight="1" x14ac:dyDescent="0.25">
      <c r="A102" s="183" t="s">
        <v>151</v>
      </c>
      <c r="B102" s="184" t="s">
        <v>138</v>
      </c>
      <c r="C102" s="184"/>
      <c r="D102" s="184"/>
      <c r="E102" s="184"/>
      <c r="F102" s="185">
        <f t="shared" ref="F102:H102" si="47">SUM(F103:F107)</f>
        <v>24354.82</v>
      </c>
      <c r="G102" s="185">
        <f t="shared" si="47"/>
        <v>25102.98</v>
      </c>
      <c r="H102" s="185">
        <f t="shared" si="47"/>
        <v>22211.38</v>
      </c>
      <c r="I102" s="187">
        <f t="shared" si="46"/>
        <v>0.88500000000000001</v>
      </c>
      <c r="J102" s="185">
        <f>SUM(J103:J107)</f>
        <v>5794.61</v>
      </c>
      <c r="K102" s="187">
        <f t="shared" si="36"/>
        <v>0.23100000000000001</v>
      </c>
      <c r="L102" s="248">
        <f>SUM(L103:L107)</f>
        <v>16714.12</v>
      </c>
      <c r="M102" s="185">
        <f t="shared" ref="M102" si="48">SUM(M103:M107)</f>
        <v>25102.98</v>
      </c>
      <c r="N102" s="281">
        <f t="shared" si="38"/>
        <v>0</v>
      </c>
      <c r="O102" s="186">
        <f t="shared" si="29"/>
        <v>1</v>
      </c>
      <c r="P102" s="171"/>
      <c r="Q102" s="171"/>
      <c r="R102" s="253"/>
    </row>
    <row r="103" spans="1:18" s="158" customFormat="1" ht="23.25" x14ac:dyDescent="0.25">
      <c r="A103" s="188"/>
      <c r="B103" s="193" t="s">
        <v>4</v>
      </c>
      <c r="C103" s="193"/>
      <c r="D103" s="193"/>
      <c r="E103" s="193"/>
      <c r="F103" s="202">
        <f>F127+F109+F115+F121+F133</f>
        <v>14306.5</v>
      </c>
      <c r="G103" s="202">
        <f t="shared" ref="G103:H103" si="49">G127+G109+G115+G121+G133</f>
        <v>17057.03</v>
      </c>
      <c r="H103" s="202">
        <f t="shared" si="49"/>
        <v>14618.93</v>
      </c>
      <c r="I103" s="192">
        <f t="shared" si="46"/>
        <v>0.86</v>
      </c>
      <c r="J103" s="202">
        <f t="shared" ref="J103:J105" si="50">J127+J109+J115+J121+J133</f>
        <v>4558.03</v>
      </c>
      <c r="K103" s="192">
        <f t="shared" si="36"/>
        <v>0.27</v>
      </c>
      <c r="L103" s="249">
        <f>L109+L115+L121+L127+L133</f>
        <v>10060.9</v>
      </c>
      <c r="M103" s="202">
        <f t="shared" ref="M103:M105" si="51">M127+M109+M115+M121+M133</f>
        <v>17057.03</v>
      </c>
      <c r="N103" s="202">
        <f t="shared" si="38"/>
        <v>0</v>
      </c>
      <c r="O103" s="192">
        <f t="shared" si="29"/>
        <v>1</v>
      </c>
      <c r="P103" s="169"/>
      <c r="Q103" s="169"/>
      <c r="R103"/>
    </row>
    <row r="104" spans="1:18" s="158" customFormat="1" ht="23.25" x14ac:dyDescent="0.25">
      <c r="A104" s="188"/>
      <c r="B104" s="193" t="s">
        <v>130</v>
      </c>
      <c r="C104" s="193"/>
      <c r="D104" s="193"/>
      <c r="E104" s="193"/>
      <c r="F104" s="202">
        <f t="shared" ref="F104:H107" si="52">F128+F110+F116+F122+F134</f>
        <v>9594.82</v>
      </c>
      <c r="G104" s="202">
        <f t="shared" si="52"/>
        <v>7592.45</v>
      </c>
      <c r="H104" s="202">
        <f t="shared" si="52"/>
        <v>7592.45</v>
      </c>
      <c r="I104" s="192">
        <f t="shared" si="46"/>
        <v>1</v>
      </c>
      <c r="J104" s="202">
        <f t="shared" si="50"/>
        <v>1236.58</v>
      </c>
      <c r="K104" s="192">
        <f t="shared" si="36"/>
        <v>0.16</v>
      </c>
      <c r="L104" s="249">
        <f>L110+L116+L122+L128+L134</f>
        <v>6199.72</v>
      </c>
      <c r="M104" s="202">
        <f t="shared" si="51"/>
        <v>7592.45</v>
      </c>
      <c r="N104" s="202">
        <f t="shared" si="38"/>
        <v>0</v>
      </c>
      <c r="O104" s="192">
        <f t="shared" si="29"/>
        <v>1</v>
      </c>
      <c r="P104" s="169"/>
      <c r="Q104" s="169"/>
      <c r="R104"/>
    </row>
    <row r="105" spans="1:18" s="158" customFormat="1" ht="23.25" x14ac:dyDescent="0.25">
      <c r="A105" s="188"/>
      <c r="B105" s="193" t="s">
        <v>133</v>
      </c>
      <c r="C105" s="193"/>
      <c r="D105" s="193"/>
      <c r="E105" s="193"/>
      <c r="F105" s="202">
        <f t="shared" si="52"/>
        <v>453.5</v>
      </c>
      <c r="G105" s="202">
        <f t="shared" si="52"/>
        <v>453.5</v>
      </c>
      <c r="H105" s="202">
        <f t="shared" si="52"/>
        <v>0</v>
      </c>
      <c r="I105" s="192">
        <f t="shared" si="46"/>
        <v>0</v>
      </c>
      <c r="J105" s="202">
        <f t="shared" si="50"/>
        <v>0</v>
      </c>
      <c r="K105" s="192">
        <f t="shared" si="36"/>
        <v>0</v>
      </c>
      <c r="L105" s="249">
        <f>L111+L117+L123+L129+L135</f>
        <v>453.5</v>
      </c>
      <c r="M105" s="202">
        <f t="shared" si="51"/>
        <v>453.5</v>
      </c>
      <c r="N105" s="202">
        <f t="shared" si="38"/>
        <v>0</v>
      </c>
      <c r="O105" s="192">
        <f t="shared" si="29"/>
        <v>1</v>
      </c>
      <c r="P105" s="169"/>
      <c r="Q105" s="169"/>
      <c r="R105"/>
    </row>
    <row r="106" spans="1:18" s="158" customFormat="1" ht="23.25" x14ac:dyDescent="0.25">
      <c r="A106" s="188"/>
      <c r="B106" s="189" t="s">
        <v>13</v>
      </c>
      <c r="C106" s="189"/>
      <c r="D106" s="189"/>
      <c r="E106" s="189"/>
      <c r="F106" s="202">
        <f t="shared" si="52"/>
        <v>0</v>
      </c>
      <c r="G106" s="202">
        <f t="shared" si="52"/>
        <v>0</v>
      </c>
      <c r="H106" s="202">
        <f t="shared" si="52"/>
        <v>0</v>
      </c>
      <c r="I106" s="192"/>
      <c r="J106" s="202"/>
      <c r="K106" s="192"/>
      <c r="L106" s="249"/>
      <c r="M106" s="202"/>
      <c r="N106" s="202"/>
      <c r="O106" s="192"/>
      <c r="P106" s="169"/>
      <c r="Q106" s="169"/>
      <c r="R106"/>
    </row>
    <row r="107" spans="1:18" s="158" customFormat="1" ht="23.25" collapsed="1" x14ac:dyDescent="0.25">
      <c r="A107" s="196"/>
      <c r="B107" s="193" t="s">
        <v>5</v>
      </c>
      <c r="C107" s="193"/>
      <c r="D107" s="193"/>
      <c r="E107" s="193"/>
      <c r="F107" s="202">
        <f t="shared" si="52"/>
        <v>0</v>
      </c>
      <c r="G107" s="202">
        <f t="shared" si="52"/>
        <v>0</v>
      </c>
      <c r="H107" s="202">
        <f t="shared" si="52"/>
        <v>0</v>
      </c>
      <c r="I107" s="192"/>
      <c r="J107" s="202"/>
      <c r="K107" s="192"/>
      <c r="L107" s="249"/>
      <c r="M107" s="202"/>
      <c r="N107" s="202"/>
      <c r="O107" s="192"/>
      <c r="P107" s="165"/>
      <c r="Q107" s="165"/>
      <c r="R107"/>
    </row>
    <row r="108" spans="1:18" s="215" customFormat="1" ht="150" customHeight="1" x14ac:dyDescent="0.25">
      <c r="A108" s="197" t="s">
        <v>152</v>
      </c>
      <c r="B108" s="198" t="s">
        <v>139</v>
      </c>
      <c r="C108" s="198"/>
      <c r="D108" s="198"/>
      <c r="E108" s="198"/>
      <c r="F108" s="199">
        <f t="shared" ref="F108:H108" si="53">SUM(F109:F113)</f>
        <v>8686.6200000000008</v>
      </c>
      <c r="G108" s="199">
        <f t="shared" si="53"/>
        <v>7596.36</v>
      </c>
      <c r="H108" s="199">
        <f t="shared" si="53"/>
        <v>7142.86</v>
      </c>
      <c r="I108" s="200">
        <f>H108/G108</f>
        <v>0.94</v>
      </c>
      <c r="J108" s="199">
        <f>SUM(J109:J113)</f>
        <v>0</v>
      </c>
      <c r="K108" s="200">
        <f t="shared" si="36"/>
        <v>0</v>
      </c>
      <c r="L108" s="199">
        <f>L109+L110+L111</f>
        <v>7596.36</v>
      </c>
      <c r="M108" s="200">
        <f>M109+M110+M111</f>
        <v>7596.36</v>
      </c>
      <c r="N108" s="200">
        <f>N109+N110+N111</f>
        <v>0</v>
      </c>
      <c r="O108" s="200">
        <f>O109+O110+O111</f>
        <v>0</v>
      </c>
      <c r="P108" s="214" t="s">
        <v>162</v>
      </c>
      <c r="Q108" s="230"/>
      <c r="R108" s="255"/>
    </row>
    <row r="109" spans="1:18" s="220" customFormat="1" ht="23.25" x14ac:dyDescent="0.25">
      <c r="A109" s="201"/>
      <c r="B109" s="193" t="s">
        <v>4</v>
      </c>
      <c r="C109" s="193"/>
      <c r="D109" s="193"/>
      <c r="E109" s="193"/>
      <c r="F109" s="202"/>
      <c r="G109" s="202">
        <v>944.84</v>
      </c>
      <c r="H109" s="202">
        <v>944.84</v>
      </c>
      <c r="I109" s="192">
        <f t="shared" si="46"/>
        <v>1</v>
      </c>
      <c r="J109" s="202"/>
      <c r="K109" s="192">
        <f t="shared" si="36"/>
        <v>0</v>
      </c>
      <c r="L109" s="235">
        <v>944.84</v>
      </c>
      <c r="M109" s="202">
        <f>G109</f>
        <v>944.84</v>
      </c>
      <c r="N109" s="202">
        <f t="shared" si="38"/>
        <v>0</v>
      </c>
      <c r="O109" s="192">
        <f>G109-L109</f>
        <v>0</v>
      </c>
      <c r="P109" s="232"/>
      <c r="Q109" s="232"/>
      <c r="R109"/>
    </row>
    <row r="110" spans="1:18" s="220" customFormat="1" ht="23.25" x14ac:dyDescent="0.25">
      <c r="A110" s="201"/>
      <c r="B110" s="193" t="s">
        <v>130</v>
      </c>
      <c r="C110" s="193"/>
      <c r="D110" s="193"/>
      <c r="E110" s="193"/>
      <c r="F110" s="202">
        <v>8233.1200000000008</v>
      </c>
      <c r="G110" s="202">
        <v>6198.02</v>
      </c>
      <c r="H110" s="202">
        <v>6198.02</v>
      </c>
      <c r="I110" s="192">
        <f t="shared" si="46"/>
        <v>1</v>
      </c>
      <c r="J110" s="202"/>
      <c r="K110" s="192">
        <f t="shared" si="36"/>
        <v>0</v>
      </c>
      <c r="L110" s="235">
        <v>6198.02</v>
      </c>
      <c r="M110" s="202">
        <f>G110</f>
        <v>6198.02</v>
      </c>
      <c r="N110" s="202">
        <f t="shared" si="38"/>
        <v>0</v>
      </c>
      <c r="O110" s="192">
        <f>G110-L110</f>
        <v>0</v>
      </c>
      <c r="P110" s="232"/>
      <c r="Q110" s="232"/>
      <c r="R110"/>
    </row>
    <row r="111" spans="1:18" s="220" customFormat="1" ht="23.25" x14ac:dyDescent="0.25">
      <c r="A111" s="201"/>
      <c r="B111" s="189" t="s">
        <v>133</v>
      </c>
      <c r="C111" s="189"/>
      <c r="D111" s="189"/>
      <c r="E111" s="189"/>
      <c r="F111" s="190">
        <v>453.5</v>
      </c>
      <c r="G111" s="190">
        <v>453.5</v>
      </c>
      <c r="H111" s="190"/>
      <c r="I111" s="191">
        <f t="shared" si="46"/>
        <v>0</v>
      </c>
      <c r="J111" s="190"/>
      <c r="K111" s="191">
        <f t="shared" si="36"/>
        <v>0</v>
      </c>
      <c r="L111" s="235">
        <v>453.5</v>
      </c>
      <c r="M111" s="202">
        <f>G111</f>
        <v>453.5</v>
      </c>
      <c r="N111" s="202">
        <f t="shared" si="38"/>
        <v>0</v>
      </c>
      <c r="O111" s="192">
        <f>G111-L111</f>
        <v>0</v>
      </c>
      <c r="P111" s="232"/>
      <c r="Q111" s="232"/>
      <c r="R111"/>
    </row>
    <row r="112" spans="1:18" s="220" customFormat="1" ht="23.25" x14ac:dyDescent="0.25">
      <c r="A112" s="201"/>
      <c r="B112" s="189" t="s">
        <v>13</v>
      </c>
      <c r="C112" s="189"/>
      <c r="D112" s="189"/>
      <c r="E112" s="189"/>
      <c r="F112" s="190"/>
      <c r="G112" s="204"/>
      <c r="H112" s="190"/>
      <c r="I112" s="192"/>
      <c r="J112" s="190"/>
      <c r="K112" s="192"/>
      <c r="L112" s="192"/>
      <c r="M112" s="190"/>
      <c r="N112" s="202">
        <f t="shared" si="38"/>
        <v>0</v>
      </c>
      <c r="O112" s="192"/>
      <c r="P112" s="232"/>
      <c r="Q112" s="232"/>
      <c r="R112"/>
    </row>
    <row r="113" spans="1:18" s="220" customFormat="1" ht="23.25" collapsed="1" x14ac:dyDescent="0.25">
      <c r="A113" s="205"/>
      <c r="B113" s="189" t="s">
        <v>5</v>
      </c>
      <c r="C113" s="189"/>
      <c r="D113" s="189"/>
      <c r="E113" s="189"/>
      <c r="F113" s="190"/>
      <c r="G113" s="204"/>
      <c r="H113" s="190"/>
      <c r="I113" s="191"/>
      <c r="J113" s="190"/>
      <c r="K113" s="191"/>
      <c r="L113" s="191"/>
      <c r="M113" s="190"/>
      <c r="N113" s="202">
        <f t="shared" si="38"/>
        <v>0</v>
      </c>
      <c r="O113" s="191"/>
      <c r="P113" s="191"/>
      <c r="Q113" s="191"/>
      <c r="R113"/>
    </row>
    <row r="114" spans="1:18" s="215" customFormat="1" ht="243" customHeight="1" x14ac:dyDescent="0.25">
      <c r="A114" s="209" t="s">
        <v>153</v>
      </c>
      <c r="B114" s="210" t="s">
        <v>140</v>
      </c>
      <c r="C114" s="210"/>
      <c r="D114" s="210"/>
      <c r="E114" s="210"/>
      <c r="F114" s="211">
        <f t="shared" ref="F114:H114" si="54">SUM(F115:F119)</f>
        <v>1.7</v>
      </c>
      <c r="G114" s="211">
        <f t="shared" si="54"/>
        <v>1.7</v>
      </c>
      <c r="H114" s="211">
        <f t="shared" si="54"/>
        <v>1.7</v>
      </c>
      <c r="I114" s="212">
        <f t="shared" ref="I114:I138" si="55">H114/G114</f>
        <v>1</v>
      </c>
      <c r="J114" s="211">
        <f>SUM(J115:J119)</f>
        <v>0</v>
      </c>
      <c r="K114" s="213">
        <f t="shared" ref="K114:K138" si="56">J114/G114</f>
        <v>0</v>
      </c>
      <c r="L114" s="226">
        <f>L116</f>
        <v>1.7</v>
      </c>
      <c r="M114" s="211">
        <f>SUM(M115:M119)</f>
        <v>1.7</v>
      </c>
      <c r="N114" s="211">
        <f t="shared" si="38"/>
        <v>0</v>
      </c>
      <c r="O114" s="219">
        <f>G114-L114</f>
        <v>0</v>
      </c>
      <c r="P114" s="214" t="s">
        <v>163</v>
      </c>
      <c r="Q114" s="199">
        <f t="shared" ref="Q114:Q119" si="57">H114-J114</f>
        <v>1.7</v>
      </c>
      <c r="R114" s="255"/>
    </row>
    <row r="115" spans="1:18" s="220" customFormat="1" ht="23.25" x14ac:dyDescent="0.25">
      <c r="A115" s="216"/>
      <c r="B115" s="217" t="s">
        <v>4</v>
      </c>
      <c r="C115" s="217"/>
      <c r="D115" s="217"/>
      <c r="E115" s="217"/>
      <c r="F115" s="218"/>
      <c r="G115" s="218"/>
      <c r="H115" s="218"/>
      <c r="I115" s="219"/>
      <c r="J115" s="218"/>
      <c r="K115" s="219"/>
      <c r="L115" s="219"/>
      <c r="M115" s="218"/>
      <c r="N115" s="218"/>
      <c r="O115" s="219"/>
      <c r="P115" s="202">
        <f>G115-J115</f>
        <v>0</v>
      </c>
      <c r="Q115" s="202">
        <f t="shared" si="57"/>
        <v>0</v>
      </c>
      <c r="R115"/>
    </row>
    <row r="116" spans="1:18" s="220" customFormat="1" ht="23.25" x14ac:dyDescent="0.25">
      <c r="A116" s="216"/>
      <c r="B116" s="217" t="s">
        <v>130</v>
      </c>
      <c r="C116" s="217"/>
      <c r="D116" s="217"/>
      <c r="E116" s="217"/>
      <c r="F116" s="218">
        <v>1.7</v>
      </c>
      <c r="G116" s="218">
        <v>1.7</v>
      </c>
      <c r="H116" s="218">
        <v>1.7</v>
      </c>
      <c r="I116" s="219">
        <f t="shared" si="55"/>
        <v>1</v>
      </c>
      <c r="J116" s="218"/>
      <c r="K116" s="221">
        <f t="shared" si="56"/>
        <v>0</v>
      </c>
      <c r="L116" s="226">
        <v>1.7</v>
      </c>
      <c r="M116" s="218">
        <f>G116</f>
        <v>1.7</v>
      </c>
      <c r="N116" s="218">
        <f t="shared" si="38"/>
        <v>0</v>
      </c>
      <c r="O116" s="219">
        <f>G116-L116</f>
        <v>0</v>
      </c>
      <c r="P116" s="202"/>
      <c r="Q116" s="202">
        <f t="shared" si="57"/>
        <v>1.7</v>
      </c>
      <c r="R116"/>
    </row>
    <row r="117" spans="1:18" s="220" customFormat="1" ht="23.25" x14ac:dyDescent="0.25">
      <c r="A117" s="216"/>
      <c r="B117" s="217" t="s">
        <v>133</v>
      </c>
      <c r="C117" s="217"/>
      <c r="D117" s="217"/>
      <c r="E117" s="217"/>
      <c r="F117" s="218"/>
      <c r="G117" s="218"/>
      <c r="H117" s="218"/>
      <c r="I117" s="219"/>
      <c r="J117" s="218"/>
      <c r="K117" s="219"/>
      <c r="L117" s="219"/>
      <c r="M117" s="218"/>
      <c r="N117" s="218"/>
      <c r="O117" s="219"/>
      <c r="P117" s="202">
        <f>G117-J117</f>
        <v>0</v>
      </c>
      <c r="Q117" s="202">
        <f t="shared" si="57"/>
        <v>0</v>
      </c>
      <c r="R117"/>
    </row>
    <row r="118" spans="1:18" s="220" customFormat="1" ht="23.25" x14ac:dyDescent="0.25">
      <c r="A118" s="216"/>
      <c r="B118" s="222" t="s">
        <v>13</v>
      </c>
      <c r="C118" s="222"/>
      <c r="D118" s="222"/>
      <c r="E118" s="222"/>
      <c r="F118" s="223"/>
      <c r="G118" s="223"/>
      <c r="H118" s="223"/>
      <c r="I118" s="219"/>
      <c r="J118" s="223"/>
      <c r="K118" s="219"/>
      <c r="L118" s="219"/>
      <c r="M118" s="223"/>
      <c r="N118" s="218"/>
      <c r="O118" s="219"/>
      <c r="P118" s="190">
        <f>G118-J118</f>
        <v>0</v>
      </c>
      <c r="Q118" s="190">
        <f t="shared" si="57"/>
        <v>0</v>
      </c>
      <c r="R118"/>
    </row>
    <row r="119" spans="1:18" s="220" customFormat="1" ht="23.25" collapsed="1" x14ac:dyDescent="0.25">
      <c r="A119" s="224"/>
      <c r="B119" s="217" t="s">
        <v>5</v>
      </c>
      <c r="C119" s="217"/>
      <c r="D119" s="217"/>
      <c r="E119" s="217"/>
      <c r="F119" s="218"/>
      <c r="G119" s="218"/>
      <c r="H119" s="218"/>
      <c r="I119" s="219"/>
      <c r="J119" s="218"/>
      <c r="K119" s="219"/>
      <c r="L119" s="219"/>
      <c r="M119" s="218"/>
      <c r="N119" s="218"/>
      <c r="O119" s="219"/>
      <c r="P119" s="202">
        <f>G119-J119</f>
        <v>0</v>
      </c>
      <c r="Q119" s="203">
        <f t="shared" si="57"/>
        <v>0</v>
      </c>
      <c r="R119"/>
    </row>
    <row r="120" spans="1:18" s="231" customFormat="1" ht="131.25" customHeight="1" outlineLevel="1" x14ac:dyDescent="0.25">
      <c r="A120" s="209" t="s">
        <v>154</v>
      </c>
      <c r="B120" s="210" t="s">
        <v>141</v>
      </c>
      <c r="C120" s="210"/>
      <c r="D120" s="210"/>
      <c r="E120" s="210"/>
      <c r="F120" s="211">
        <f t="shared" ref="F120:H120" si="58">SUM(F121:F125)</f>
        <v>7417.8</v>
      </c>
      <c r="G120" s="211">
        <f t="shared" si="58"/>
        <v>9116.06</v>
      </c>
      <c r="H120" s="211">
        <f t="shared" si="58"/>
        <v>9116.06</v>
      </c>
      <c r="I120" s="212">
        <f t="shared" si="55"/>
        <v>1</v>
      </c>
      <c r="J120" s="211">
        <f>SUM(J121:J125)</f>
        <v>0</v>
      </c>
      <c r="K120" s="212">
        <f t="shared" si="56"/>
        <v>0</v>
      </c>
      <c r="L120" s="247">
        <f>L121</f>
        <v>9116.06</v>
      </c>
      <c r="M120" s="211">
        <f>SUM(M121:M125)</f>
        <v>9116.06</v>
      </c>
      <c r="N120" s="211">
        <f t="shared" si="38"/>
        <v>0</v>
      </c>
      <c r="O120" s="212">
        <f>O121</f>
        <v>0</v>
      </c>
      <c r="P120" s="214" t="s">
        <v>160</v>
      </c>
      <c r="Q120" s="230"/>
      <c r="R120" s="252"/>
    </row>
    <row r="121" spans="1:18" s="220" customFormat="1" ht="23.25" outlineLevel="1" x14ac:dyDescent="0.25">
      <c r="A121" s="216"/>
      <c r="B121" s="217" t="s">
        <v>4</v>
      </c>
      <c r="C121" s="217"/>
      <c r="D121" s="217"/>
      <c r="E121" s="217"/>
      <c r="F121" s="218">
        <v>7417.8</v>
      </c>
      <c r="G121" s="218">
        <v>9116.06</v>
      </c>
      <c r="H121" s="218">
        <v>9116.06</v>
      </c>
      <c r="I121" s="219">
        <f t="shared" si="55"/>
        <v>1</v>
      </c>
      <c r="J121" s="218">
        <v>0</v>
      </c>
      <c r="K121" s="219">
        <f t="shared" si="56"/>
        <v>0</v>
      </c>
      <c r="L121" s="225">
        <v>9116.06</v>
      </c>
      <c r="M121" s="218">
        <f>G121</f>
        <v>9116.06</v>
      </c>
      <c r="N121" s="218">
        <f t="shared" si="38"/>
        <v>0</v>
      </c>
      <c r="O121" s="219">
        <f>G121-L121</f>
        <v>0</v>
      </c>
      <c r="P121" s="232"/>
      <c r="Q121" s="232"/>
      <c r="R121"/>
    </row>
    <row r="122" spans="1:18" s="220" customFormat="1" ht="23.25" outlineLevel="1" x14ac:dyDescent="0.25">
      <c r="A122" s="216"/>
      <c r="B122" s="217" t="s">
        <v>130</v>
      </c>
      <c r="C122" s="217"/>
      <c r="D122" s="217"/>
      <c r="E122" s="217"/>
      <c r="F122" s="218"/>
      <c r="G122" s="218"/>
      <c r="H122" s="218"/>
      <c r="I122" s="219"/>
      <c r="J122" s="218"/>
      <c r="K122" s="219"/>
      <c r="L122" s="219"/>
      <c r="M122" s="218"/>
      <c r="N122" s="218"/>
      <c r="O122" s="219"/>
      <c r="P122" s="232"/>
      <c r="Q122" s="232"/>
      <c r="R122"/>
    </row>
    <row r="123" spans="1:18" s="220" customFormat="1" ht="23.25" outlineLevel="1" x14ac:dyDescent="0.25">
      <c r="A123" s="216"/>
      <c r="B123" s="217" t="s">
        <v>133</v>
      </c>
      <c r="C123" s="217"/>
      <c r="D123" s="217"/>
      <c r="E123" s="217"/>
      <c r="F123" s="218"/>
      <c r="G123" s="218"/>
      <c r="H123" s="218"/>
      <c r="I123" s="219"/>
      <c r="J123" s="218"/>
      <c r="K123" s="219"/>
      <c r="L123" s="219"/>
      <c r="M123" s="218"/>
      <c r="N123" s="218"/>
      <c r="O123" s="219"/>
      <c r="P123" s="232"/>
      <c r="Q123" s="232"/>
      <c r="R123"/>
    </row>
    <row r="124" spans="1:18" s="220" customFormat="1" ht="23.25" outlineLevel="1" x14ac:dyDescent="0.25">
      <c r="A124" s="216"/>
      <c r="B124" s="222" t="s">
        <v>13</v>
      </c>
      <c r="C124" s="222"/>
      <c r="D124" s="222"/>
      <c r="E124" s="222"/>
      <c r="F124" s="223"/>
      <c r="G124" s="233"/>
      <c r="H124" s="223"/>
      <c r="I124" s="219"/>
      <c r="J124" s="223"/>
      <c r="K124" s="219"/>
      <c r="L124" s="219"/>
      <c r="M124" s="223"/>
      <c r="N124" s="218"/>
      <c r="O124" s="219"/>
      <c r="P124" s="232"/>
      <c r="Q124" s="232"/>
      <c r="R124"/>
    </row>
    <row r="125" spans="1:18" s="220" customFormat="1" ht="23.25" outlineLevel="1" collapsed="1" x14ac:dyDescent="0.25">
      <c r="A125" s="224"/>
      <c r="B125" s="217" t="s">
        <v>5</v>
      </c>
      <c r="C125" s="217"/>
      <c r="D125" s="217"/>
      <c r="E125" s="217"/>
      <c r="F125" s="218"/>
      <c r="G125" s="234"/>
      <c r="H125" s="218"/>
      <c r="I125" s="219"/>
      <c r="J125" s="218"/>
      <c r="K125" s="219"/>
      <c r="L125" s="219"/>
      <c r="M125" s="218"/>
      <c r="N125" s="218"/>
      <c r="O125" s="219"/>
      <c r="P125" s="191"/>
      <c r="Q125" s="191"/>
      <c r="R125"/>
    </row>
    <row r="126" spans="1:18" s="170" customFormat="1" ht="227.25" customHeight="1" x14ac:dyDescent="0.25">
      <c r="A126" s="197" t="s">
        <v>155</v>
      </c>
      <c r="B126" s="198" t="s">
        <v>142</v>
      </c>
      <c r="C126" s="198"/>
      <c r="D126" s="198"/>
      <c r="E126" s="198"/>
      <c r="F126" s="199">
        <f t="shared" ref="F126:H126" si="59">SUM(F127:F131)</f>
        <v>5810.6</v>
      </c>
      <c r="G126" s="199">
        <f t="shared" si="59"/>
        <v>5950.76</v>
      </c>
      <c r="H126" s="199">
        <f t="shared" si="59"/>
        <v>5950.76</v>
      </c>
      <c r="I126" s="200">
        <f t="shared" si="55"/>
        <v>1</v>
      </c>
      <c r="J126" s="199">
        <f>SUM(J127:J131)</f>
        <v>5794.61</v>
      </c>
      <c r="K126" s="200">
        <f t="shared" si="56"/>
        <v>0.97</v>
      </c>
      <c r="L126" s="200"/>
      <c r="M126" s="199">
        <f>SUM(M127:M131)</f>
        <v>5950.76</v>
      </c>
      <c r="N126" s="199">
        <f t="shared" si="38"/>
        <v>0</v>
      </c>
      <c r="O126" s="200">
        <f t="shared" ref="O126:O133" si="60">M126/G126</f>
        <v>1</v>
      </c>
      <c r="P126" s="271" t="s">
        <v>178</v>
      </c>
      <c r="Q126" s="167"/>
      <c r="R126" s="253"/>
    </row>
    <row r="127" spans="1:18" s="158" customFormat="1" ht="36.75" customHeight="1" x14ac:dyDescent="0.25">
      <c r="A127" s="201"/>
      <c r="B127" s="193" t="s">
        <v>4</v>
      </c>
      <c r="C127" s="193"/>
      <c r="D127" s="193"/>
      <c r="E127" s="193"/>
      <c r="F127" s="202">
        <v>4450.6000000000004</v>
      </c>
      <c r="G127" s="202">
        <v>4558.03</v>
      </c>
      <c r="H127" s="202">
        <f>G127</f>
        <v>4558.03</v>
      </c>
      <c r="I127" s="192">
        <f t="shared" si="55"/>
        <v>1</v>
      </c>
      <c r="J127" s="202">
        <v>4558.03</v>
      </c>
      <c r="K127" s="192">
        <f t="shared" si="56"/>
        <v>1</v>
      </c>
      <c r="L127" s="192"/>
      <c r="M127" s="202">
        <f>G127</f>
        <v>4558.03</v>
      </c>
      <c r="N127" s="202">
        <f t="shared" si="38"/>
        <v>0</v>
      </c>
      <c r="O127" s="192">
        <f t="shared" si="60"/>
        <v>1</v>
      </c>
      <c r="P127"/>
      <c r="Q127" s="169"/>
      <c r="R127"/>
    </row>
    <row r="128" spans="1:18" s="158" customFormat="1" ht="36.75" customHeight="1" x14ac:dyDescent="0.25">
      <c r="A128" s="201"/>
      <c r="B128" s="193" t="s">
        <v>130</v>
      </c>
      <c r="C128" s="193"/>
      <c r="D128" s="193"/>
      <c r="E128" s="193"/>
      <c r="F128" s="202">
        <v>1360</v>
      </c>
      <c r="G128" s="202">
        <v>1392.73</v>
      </c>
      <c r="H128" s="202">
        <f>G128</f>
        <v>1392.73</v>
      </c>
      <c r="I128" s="192">
        <f t="shared" si="55"/>
        <v>1</v>
      </c>
      <c r="J128" s="202">
        <v>1236.58</v>
      </c>
      <c r="K128" s="192">
        <f t="shared" si="56"/>
        <v>0.89</v>
      </c>
      <c r="L128" s="192"/>
      <c r="M128" s="202">
        <f>G128</f>
        <v>1392.73</v>
      </c>
      <c r="N128" s="202">
        <f t="shared" si="38"/>
        <v>0</v>
      </c>
      <c r="O128" s="192">
        <f t="shared" si="60"/>
        <v>1</v>
      </c>
      <c r="P128"/>
      <c r="Q128" s="169"/>
      <c r="R128"/>
    </row>
    <row r="129" spans="1:18" s="158" customFormat="1" ht="36.75" customHeight="1" x14ac:dyDescent="0.25">
      <c r="A129" s="201"/>
      <c r="B129" s="193" t="s">
        <v>133</v>
      </c>
      <c r="C129" s="193"/>
      <c r="D129" s="193"/>
      <c r="E129" s="193"/>
      <c r="F129" s="202"/>
      <c r="G129" s="202"/>
      <c r="H129" s="202"/>
      <c r="I129" s="192"/>
      <c r="J129" s="202"/>
      <c r="K129" s="192"/>
      <c r="L129" s="192"/>
      <c r="M129" s="202"/>
      <c r="N129" s="202"/>
      <c r="O129" s="192"/>
      <c r="P129"/>
      <c r="Q129" s="169"/>
      <c r="R129"/>
    </row>
    <row r="130" spans="1:18" s="158" customFormat="1" ht="36.75" customHeight="1" x14ac:dyDescent="0.25">
      <c r="A130" s="201"/>
      <c r="B130" s="189" t="s">
        <v>13</v>
      </c>
      <c r="C130" s="189"/>
      <c r="D130" s="189"/>
      <c r="E130" s="189"/>
      <c r="F130" s="190"/>
      <c r="G130" s="204"/>
      <c r="H130" s="190"/>
      <c r="I130" s="192"/>
      <c r="J130" s="190"/>
      <c r="K130" s="192"/>
      <c r="L130" s="192"/>
      <c r="M130" s="190"/>
      <c r="N130" s="190"/>
      <c r="O130" s="192"/>
      <c r="P130"/>
      <c r="Q130" s="169"/>
      <c r="R130"/>
    </row>
    <row r="131" spans="1:18" s="158" customFormat="1" ht="36.75" customHeight="1" x14ac:dyDescent="0.25">
      <c r="A131" s="205"/>
      <c r="B131" s="193" t="s">
        <v>5</v>
      </c>
      <c r="C131" s="193"/>
      <c r="D131" s="193"/>
      <c r="E131" s="193"/>
      <c r="F131" s="202"/>
      <c r="G131" s="203"/>
      <c r="H131" s="202"/>
      <c r="I131" s="192"/>
      <c r="J131" s="202"/>
      <c r="K131" s="192"/>
      <c r="L131" s="192"/>
      <c r="M131" s="202"/>
      <c r="N131" s="202"/>
      <c r="O131" s="192"/>
      <c r="P131"/>
      <c r="Q131" s="165"/>
      <c r="R131"/>
    </row>
    <row r="132" spans="1:18" s="170" customFormat="1" ht="46.5" x14ac:dyDescent="0.25">
      <c r="A132" s="197" t="s">
        <v>156</v>
      </c>
      <c r="B132" s="198" t="s">
        <v>143</v>
      </c>
      <c r="C132" s="198"/>
      <c r="D132" s="198"/>
      <c r="E132" s="198"/>
      <c r="F132" s="199">
        <f t="shared" ref="F132:H132" si="61">SUM(F133:F137)</f>
        <v>2438.1</v>
      </c>
      <c r="G132" s="199">
        <f t="shared" si="61"/>
        <v>2438.1</v>
      </c>
      <c r="H132" s="199">
        <f t="shared" si="61"/>
        <v>0</v>
      </c>
      <c r="I132" s="200">
        <f t="shared" si="55"/>
        <v>0</v>
      </c>
      <c r="J132" s="199">
        <f>SUM(J133:J137)</f>
        <v>0</v>
      </c>
      <c r="K132" s="200">
        <f t="shared" si="56"/>
        <v>0</v>
      </c>
      <c r="L132" s="200"/>
      <c r="M132" s="199">
        <f>SUM(M133:M137)</f>
        <v>2438.1</v>
      </c>
      <c r="N132" s="199">
        <f t="shared" si="38"/>
        <v>0</v>
      </c>
      <c r="O132" s="200">
        <f t="shared" si="60"/>
        <v>1</v>
      </c>
      <c r="P132" s="167"/>
      <c r="Q132" s="167"/>
      <c r="R132" s="253"/>
    </row>
    <row r="133" spans="1:18" s="158" customFormat="1" ht="23.25" x14ac:dyDescent="0.25">
      <c r="A133" s="172"/>
      <c r="B133" s="193" t="s">
        <v>144</v>
      </c>
      <c r="C133" s="193"/>
      <c r="D133" s="193"/>
      <c r="E133" s="193"/>
      <c r="F133" s="202">
        <v>2438.1</v>
      </c>
      <c r="G133" s="202">
        <v>2438.1</v>
      </c>
      <c r="H133" s="202"/>
      <c r="I133" s="192">
        <f t="shared" si="55"/>
        <v>0</v>
      </c>
      <c r="J133" s="202"/>
      <c r="K133" s="192">
        <f t="shared" si="56"/>
        <v>0</v>
      </c>
      <c r="L133" s="192"/>
      <c r="M133" s="202">
        <f>G133</f>
        <v>2438.1</v>
      </c>
      <c r="N133" s="202">
        <f t="shared" si="38"/>
        <v>0</v>
      </c>
      <c r="O133" s="192">
        <f t="shared" si="60"/>
        <v>1</v>
      </c>
      <c r="P133" s="169"/>
      <c r="Q133" s="169"/>
      <c r="R133"/>
    </row>
    <row r="134" spans="1:18" s="158" customFormat="1" ht="23.25" x14ac:dyDescent="0.25">
      <c r="A134" s="172"/>
      <c r="B134" s="193" t="s">
        <v>130</v>
      </c>
      <c r="C134" s="193"/>
      <c r="D134" s="193"/>
      <c r="E134" s="193"/>
      <c r="F134" s="202"/>
      <c r="G134" s="202"/>
      <c r="H134" s="202"/>
      <c r="I134" s="192"/>
      <c r="J134" s="202"/>
      <c r="K134" s="192"/>
      <c r="L134" s="192"/>
      <c r="M134" s="202"/>
      <c r="N134" s="202"/>
      <c r="O134" s="192"/>
      <c r="P134" s="169"/>
      <c r="Q134" s="169"/>
      <c r="R134"/>
    </row>
    <row r="135" spans="1:18" s="158" customFormat="1" ht="23.25" x14ac:dyDescent="0.25">
      <c r="A135" s="172"/>
      <c r="B135" s="193" t="s">
        <v>133</v>
      </c>
      <c r="C135" s="193"/>
      <c r="D135" s="193"/>
      <c r="E135" s="193"/>
      <c r="F135" s="202"/>
      <c r="G135" s="202"/>
      <c r="H135" s="202"/>
      <c r="I135" s="192"/>
      <c r="J135" s="202"/>
      <c r="K135" s="192"/>
      <c r="L135" s="192"/>
      <c r="M135" s="202"/>
      <c r="N135" s="202"/>
      <c r="O135" s="192"/>
      <c r="P135" s="169"/>
      <c r="Q135" s="169"/>
      <c r="R135"/>
    </row>
    <row r="136" spans="1:18" s="158" customFormat="1" ht="23.25" x14ac:dyDescent="0.25">
      <c r="A136" s="172"/>
      <c r="B136" s="189" t="s">
        <v>13</v>
      </c>
      <c r="C136" s="189"/>
      <c r="D136" s="189"/>
      <c r="E136" s="189"/>
      <c r="F136" s="190"/>
      <c r="G136" s="204"/>
      <c r="H136" s="190"/>
      <c r="I136" s="192"/>
      <c r="J136" s="190"/>
      <c r="K136" s="192"/>
      <c r="L136" s="192"/>
      <c r="M136" s="190"/>
      <c r="N136" s="190"/>
      <c r="O136" s="192"/>
      <c r="P136" s="169"/>
      <c r="Q136" s="169"/>
      <c r="R136"/>
    </row>
    <row r="137" spans="1:18" s="158" customFormat="1" ht="23.25" x14ac:dyDescent="0.25">
      <c r="A137" s="173"/>
      <c r="B137" s="193" t="s">
        <v>5</v>
      </c>
      <c r="C137" s="193"/>
      <c r="D137" s="193"/>
      <c r="E137" s="193"/>
      <c r="F137" s="202"/>
      <c r="G137" s="203"/>
      <c r="H137" s="202"/>
      <c r="I137" s="192"/>
      <c r="J137" s="202"/>
      <c r="K137" s="192"/>
      <c r="L137" s="192"/>
      <c r="M137" s="202"/>
      <c r="N137" s="202"/>
      <c r="O137" s="192"/>
      <c r="P137" s="165"/>
      <c r="Q137" s="165"/>
      <c r="R137"/>
    </row>
    <row r="138" spans="1:18" s="114" customFormat="1" ht="204.75" customHeight="1" x14ac:dyDescent="0.25">
      <c r="A138" s="277" t="s">
        <v>24</v>
      </c>
      <c r="B138" s="69" t="s">
        <v>104</v>
      </c>
      <c r="C138" s="61">
        <f>SUM(C139:C143)</f>
        <v>0</v>
      </c>
      <c r="D138" s="61">
        <f>SUM(D139:D143)</f>
        <v>0</v>
      </c>
      <c r="E138" s="61">
        <f>SUM(E139:E143)</f>
        <v>0</v>
      </c>
      <c r="F138" s="61">
        <f>SUM(F139:F143)</f>
        <v>201563.82</v>
      </c>
      <c r="G138" s="61">
        <f>SUM(G139:G143)</f>
        <v>225215.99</v>
      </c>
      <c r="H138" s="61">
        <f t="shared" ref="H138:J138" si="62">SUM(H139:H143)</f>
        <v>58072.42</v>
      </c>
      <c r="I138" s="240">
        <f t="shared" si="55"/>
        <v>0.26</v>
      </c>
      <c r="J138" s="61">
        <f t="shared" si="62"/>
        <v>51270.62</v>
      </c>
      <c r="K138" s="239">
        <f t="shared" si="56"/>
        <v>0.23</v>
      </c>
      <c r="L138" s="237">
        <f>L139+L140+L141+L142+L143</f>
        <v>224098.72</v>
      </c>
      <c r="M138" s="238"/>
      <c r="N138" s="238"/>
      <c r="O138" s="237">
        <f>SUM(O139:O143)</f>
        <v>1117.27</v>
      </c>
      <c r="P138" s="275" t="s">
        <v>173</v>
      </c>
    </row>
    <row r="139" spans="1:18" s="111" customFormat="1" x14ac:dyDescent="0.25">
      <c r="A139"/>
      <c r="B139" s="103" t="s">
        <v>4</v>
      </c>
      <c r="C139" s="87"/>
      <c r="D139" s="87"/>
      <c r="E139" s="84"/>
      <c r="F139" s="87"/>
      <c r="G139" s="87"/>
      <c r="H139" s="87"/>
      <c r="I139" s="106"/>
      <c r="J139" s="87"/>
      <c r="K139" s="105"/>
      <c r="L139" s="181"/>
      <c r="M139" s="87"/>
      <c r="N139" s="87"/>
      <c r="O139" s="181">
        <f>G139-L139</f>
        <v>0</v>
      </c>
      <c r="P139"/>
    </row>
    <row r="140" spans="1:18" s="111" customFormat="1" x14ac:dyDescent="0.25">
      <c r="A140"/>
      <c r="B140" s="103" t="s">
        <v>16</v>
      </c>
      <c r="C140" s="87"/>
      <c r="D140" s="87"/>
      <c r="E140" s="84"/>
      <c r="F140" s="87">
        <v>58677.2</v>
      </c>
      <c r="G140" s="87">
        <v>82288.800000000003</v>
      </c>
      <c r="H140" s="87">
        <f>19263.22+6914.23</f>
        <v>26177.45</v>
      </c>
      <c r="I140" s="106">
        <f>H140/G140</f>
        <v>0.32</v>
      </c>
      <c r="J140" s="87">
        <f>19375.65</f>
        <v>19375.650000000001</v>
      </c>
      <c r="K140" s="105">
        <f>J140/G140</f>
        <v>0.24</v>
      </c>
      <c r="L140" s="236">
        <f>63025.5+19263.22</f>
        <v>82288.72</v>
      </c>
      <c r="M140" s="87"/>
      <c r="N140" s="87"/>
      <c r="O140" s="236">
        <f>G140-L140</f>
        <v>0.08</v>
      </c>
      <c r="P140"/>
    </row>
    <row r="141" spans="1:18" s="111" customFormat="1" x14ac:dyDescent="0.25">
      <c r="A141"/>
      <c r="B141" s="103" t="s">
        <v>11</v>
      </c>
      <c r="C141" s="87"/>
      <c r="D141" s="87"/>
      <c r="E141" s="84"/>
      <c r="F141" s="263">
        <f>1263.31+32407.38</f>
        <v>33670.69</v>
      </c>
      <c r="G141" s="263">
        <f>1263.31+32407.38</f>
        <v>33670.69</v>
      </c>
      <c r="H141" s="263">
        <f>J141</f>
        <v>12254.93</v>
      </c>
      <c r="I141" s="250">
        <f>H141/G141</f>
        <v>0.36</v>
      </c>
      <c r="J141" s="263">
        <v>12254.93</v>
      </c>
      <c r="K141" s="251">
        <f>J141/G141</f>
        <v>0.36</v>
      </c>
      <c r="L141" s="264">
        <v>33670.69</v>
      </c>
      <c r="M141" s="263"/>
      <c r="N141" s="263"/>
      <c r="O141" s="264">
        <f>G141-L141</f>
        <v>0</v>
      </c>
      <c r="P141"/>
    </row>
    <row r="142" spans="1:18" s="111" customFormat="1" x14ac:dyDescent="0.25">
      <c r="A142"/>
      <c r="B142" s="103" t="s">
        <v>13</v>
      </c>
      <c r="C142" s="87"/>
      <c r="D142" s="87"/>
      <c r="E142" s="87"/>
      <c r="F142" s="87"/>
      <c r="G142" s="87"/>
      <c r="H142" s="182"/>
      <c r="I142" s="106"/>
      <c r="J142" s="182"/>
      <c r="K142" s="105"/>
      <c r="L142" s="264"/>
      <c r="M142" s="87"/>
      <c r="N142" s="87"/>
      <c r="O142" s="264">
        <f>G142-L142</f>
        <v>0</v>
      </c>
      <c r="P142"/>
    </row>
    <row r="143" spans="1:18" s="111" customFormat="1" x14ac:dyDescent="0.25">
      <c r="A143"/>
      <c r="B143" s="103" t="s">
        <v>5</v>
      </c>
      <c r="C143" s="87"/>
      <c r="D143" s="87"/>
      <c r="E143" s="87"/>
      <c r="F143" s="87">
        <v>109215.93</v>
      </c>
      <c r="G143" s="87">
        <v>109256.5</v>
      </c>
      <c r="H143" s="87">
        <f>J143</f>
        <v>19640.04</v>
      </c>
      <c r="I143" s="106">
        <f t="shared" ref="I143:I148" si="63">H143/G143</f>
        <v>0.18</v>
      </c>
      <c r="J143" s="87">
        <v>19640.04</v>
      </c>
      <c r="K143" s="105">
        <f t="shared" ref="K143:K148" si="64">J143/G143</f>
        <v>0.18</v>
      </c>
      <c r="L143" s="264">
        <v>108139.31</v>
      </c>
      <c r="M143" s="87"/>
      <c r="N143" s="87"/>
      <c r="O143" s="264">
        <f>G143-L143</f>
        <v>1117.19</v>
      </c>
      <c r="P143"/>
    </row>
    <row r="144" spans="1:18" s="118" customFormat="1" ht="370.5" customHeight="1" x14ac:dyDescent="0.25">
      <c r="A144" s="119" t="s">
        <v>25</v>
      </c>
      <c r="B144" s="120" t="s">
        <v>105</v>
      </c>
      <c r="C144" s="121"/>
      <c r="D144" s="121"/>
      <c r="E144" s="121"/>
      <c r="F144" s="121">
        <f>F145+F146+F147+F148+F149</f>
        <v>54249.26</v>
      </c>
      <c r="G144" s="121">
        <f>G145+G146+G147+G148+G149</f>
        <v>55963.66</v>
      </c>
      <c r="H144" s="121">
        <f>H145+H146+H147+H148+H149</f>
        <v>35772.61</v>
      </c>
      <c r="I144" s="130">
        <f t="shared" si="63"/>
        <v>0.64</v>
      </c>
      <c r="J144" s="121">
        <f>J145+J146+J147+J148+J149</f>
        <v>31291.16</v>
      </c>
      <c r="K144" s="130">
        <f t="shared" si="64"/>
        <v>0.56000000000000005</v>
      </c>
      <c r="L144" s="121">
        <f>L145+L146+L147+L148+L149</f>
        <v>55963.66</v>
      </c>
      <c r="M144" s="121">
        <f>M145+M146+M147+M148+M149</f>
        <v>0</v>
      </c>
      <c r="N144" s="121">
        <f>N145+N146+N147+N148+N149</f>
        <v>0</v>
      </c>
      <c r="O144" s="121">
        <f>O146+O145+O147+O148+O149</f>
        <v>0</v>
      </c>
      <c r="P144" s="276" t="s">
        <v>172</v>
      </c>
    </row>
    <row r="145" spans="1:16" s="46" customFormat="1" ht="32.25" customHeight="1" x14ac:dyDescent="0.25">
      <c r="A145" s="124"/>
      <c r="B145" s="103" t="s">
        <v>4</v>
      </c>
      <c r="C145" s="121"/>
      <c r="D145" s="121"/>
      <c r="E145" s="121"/>
      <c r="F145" s="125">
        <v>19563.2</v>
      </c>
      <c r="G145" s="125">
        <v>19563.2</v>
      </c>
      <c r="H145" s="125">
        <v>10434.65</v>
      </c>
      <c r="I145" s="130">
        <f t="shared" si="63"/>
        <v>0.53</v>
      </c>
      <c r="J145" s="125">
        <v>10434.65</v>
      </c>
      <c r="K145" s="130">
        <f t="shared" si="64"/>
        <v>0.53</v>
      </c>
      <c r="L145" s="125">
        <v>19563.2</v>
      </c>
      <c r="M145" s="65"/>
      <c r="N145" s="65"/>
      <c r="O145" s="113">
        <f>G145-L145</f>
        <v>0</v>
      </c>
      <c r="P145"/>
    </row>
    <row r="146" spans="1:16" s="46" customFormat="1" ht="32.25" customHeight="1" x14ac:dyDescent="0.25">
      <c r="A146" s="128"/>
      <c r="B146" s="103" t="s">
        <v>16</v>
      </c>
      <c r="C146" s="129"/>
      <c r="D146" s="129"/>
      <c r="E146" s="129"/>
      <c r="F146" s="125">
        <v>19326.8</v>
      </c>
      <c r="G146" s="125">
        <v>21041.200000000001</v>
      </c>
      <c r="H146" s="125">
        <v>14368.45</v>
      </c>
      <c r="I146" s="130">
        <f t="shared" si="63"/>
        <v>0.68</v>
      </c>
      <c r="J146" s="125">
        <v>9887</v>
      </c>
      <c r="K146" s="130">
        <f t="shared" si="64"/>
        <v>0.47</v>
      </c>
      <c r="L146" s="125">
        <f>15988.4+1100+3952.8</f>
        <v>21041.200000000001</v>
      </c>
      <c r="M146" s="65"/>
      <c r="N146" s="65"/>
      <c r="O146" s="113">
        <f>G146-L146</f>
        <v>0</v>
      </c>
      <c r="P146"/>
    </row>
    <row r="147" spans="1:16" s="46" customFormat="1" ht="32.25" customHeight="1" x14ac:dyDescent="0.25">
      <c r="A147" s="128"/>
      <c r="B147" s="103" t="s">
        <v>11</v>
      </c>
      <c r="C147" s="121"/>
      <c r="D147" s="121"/>
      <c r="E147" s="121"/>
      <c r="F147" s="125">
        <v>948.6</v>
      </c>
      <c r="G147" s="125">
        <v>1102.2</v>
      </c>
      <c r="H147" s="125">
        <v>616.29999999999995</v>
      </c>
      <c r="I147" s="130">
        <f t="shared" si="63"/>
        <v>0.56000000000000005</v>
      </c>
      <c r="J147" s="125">
        <v>616.29999999999995</v>
      </c>
      <c r="K147" s="130">
        <f t="shared" si="64"/>
        <v>0.56000000000000005</v>
      </c>
      <c r="L147" s="125">
        <v>1102.2</v>
      </c>
      <c r="M147" s="65"/>
      <c r="N147" s="65"/>
      <c r="O147" s="113">
        <f>G147-L147</f>
        <v>0</v>
      </c>
      <c r="P147"/>
    </row>
    <row r="148" spans="1:16" s="46" customFormat="1" ht="32.25" customHeight="1" x14ac:dyDescent="0.25">
      <c r="A148" s="128"/>
      <c r="B148" s="103" t="s">
        <v>13</v>
      </c>
      <c r="C148" s="121"/>
      <c r="D148" s="121"/>
      <c r="E148" s="121"/>
      <c r="F148" s="125">
        <v>14410.66</v>
      </c>
      <c r="G148" s="125">
        <v>14257.06</v>
      </c>
      <c r="H148" s="125">
        <v>10353.209999999999</v>
      </c>
      <c r="I148" s="126">
        <f t="shared" si="63"/>
        <v>0.73</v>
      </c>
      <c r="J148" s="125">
        <v>10353.209999999999</v>
      </c>
      <c r="K148" s="127">
        <f t="shared" si="64"/>
        <v>0.73</v>
      </c>
      <c r="L148" s="125">
        <v>14257.06</v>
      </c>
      <c r="M148" s="65"/>
      <c r="N148" s="65"/>
      <c r="O148" s="113">
        <f>G148-L148</f>
        <v>0</v>
      </c>
      <c r="P148"/>
    </row>
    <row r="149" spans="1:16" s="46" customFormat="1" ht="113.25" customHeight="1" x14ac:dyDescent="0.25">
      <c r="A149" s="128"/>
      <c r="B149" s="103" t="s">
        <v>5</v>
      </c>
      <c r="C149" s="125"/>
      <c r="D149" s="125"/>
      <c r="E149" s="125"/>
      <c r="F149" s="125"/>
      <c r="G149" s="125"/>
      <c r="H149" s="125"/>
      <c r="I149" s="126"/>
      <c r="J149" s="125"/>
      <c r="K149" s="127"/>
      <c r="L149" s="125"/>
      <c r="M149" s="65"/>
      <c r="N149" s="65"/>
      <c r="O149" s="113"/>
      <c r="P149"/>
    </row>
    <row r="150" spans="1:16" s="114" customFormat="1" ht="195.75" customHeight="1" x14ac:dyDescent="0.25">
      <c r="A150" s="277" t="s">
        <v>26</v>
      </c>
      <c r="B150" s="98" t="s">
        <v>106</v>
      </c>
      <c r="C150" s="61"/>
      <c r="D150" s="61"/>
      <c r="E150" s="61"/>
      <c r="F150" s="107"/>
      <c r="G150" s="107"/>
      <c r="H150" s="107"/>
      <c r="I150" s="108"/>
      <c r="J150" s="107"/>
      <c r="K150" s="109"/>
      <c r="L150" s="109"/>
      <c r="M150" s="72"/>
      <c r="N150" s="72"/>
      <c r="O150" s="72"/>
      <c r="P150" s="272" t="s">
        <v>124</v>
      </c>
    </row>
    <row r="151" spans="1:16" s="114" customFormat="1" x14ac:dyDescent="0.25">
      <c r="A151" s="278"/>
      <c r="B151" s="103" t="s">
        <v>4</v>
      </c>
      <c r="C151" s="61"/>
      <c r="D151" s="61"/>
      <c r="E151" s="61"/>
      <c r="F151" s="107"/>
      <c r="G151" s="107"/>
      <c r="H151" s="107"/>
      <c r="I151" s="108"/>
      <c r="J151" s="107"/>
      <c r="K151" s="109"/>
      <c r="L151" s="109"/>
      <c r="M151" s="72"/>
      <c r="N151" s="72"/>
      <c r="O151" s="72"/>
      <c r="P151" s="272"/>
    </row>
    <row r="152" spans="1:16" s="114" customFormat="1" x14ac:dyDescent="0.25">
      <c r="A152" s="278"/>
      <c r="B152" s="103" t="s">
        <v>16</v>
      </c>
      <c r="C152" s="61"/>
      <c r="D152" s="61"/>
      <c r="E152" s="61"/>
      <c r="F152" s="107"/>
      <c r="G152" s="107"/>
      <c r="H152" s="107"/>
      <c r="I152" s="108"/>
      <c r="J152" s="107"/>
      <c r="K152" s="109"/>
      <c r="L152" s="109"/>
      <c r="M152" s="72"/>
      <c r="N152" s="72"/>
      <c r="O152" s="72"/>
      <c r="P152" s="272"/>
    </row>
    <row r="153" spans="1:16" s="114" customFormat="1" x14ac:dyDescent="0.25">
      <c r="A153" s="278"/>
      <c r="B153" s="103" t="s">
        <v>11</v>
      </c>
      <c r="C153" s="61"/>
      <c r="D153" s="61"/>
      <c r="E153" s="61"/>
      <c r="F153" s="107"/>
      <c r="G153" s="107"/>
      <c r="H153" s="107"/>
      <c r="I153" s="108"/>
      <c r="J153" s="107"/>
      <c r="K153" s="109"/>
      <c r="L153" s="109"/>
      <c r="M153" s="72"/>
      <c r="N153" s="72"/>
      <c r="O153" s="72"/>
      <c r="P153" s="272"/>
    </row>
    <row r="154" spans="1:16" s="114" customFormat="1" x14ac:dyDescent="0.25">
      <c r="A154" s="278"/>
      <c r="B154" s="103" t="s">
        <v>13</v>
      </c>
      <c r="C154" s="61"/>
      <c r="D154" s="61"/>
      <c r="E154" s="61"/>
      <c r="F154" s="107"/>
      <c r="G154" s="107"/>
      <c r="H154" s="107"/>
      <c r="I154" s="108"/>
      <c r="J154" s="107"/>
      <c r="K154" s="109"/>
      <c r="L154" s="109"/>
      <c r="M154" s="72"/>
      <c r="N154" s="72"/>
      <c r="O154" s="72"/>
      <c r="P154" s="272"/>
    </row>
    <row r="155" spans="1:16" s="114" customFormat="1" x14ac:dyDescent="0.25">
      <c r="A155" s="278"/>
      <c r="B155" s="103" t="s">
        <v>5</v>
      </c>
      <c r="C155" s="61"/>
      <c r="D155" s="61"/>
      <c r="E155" s="61"/>
      <c r="F155" s="107"/>
      <c r="G155" s="107"/>
      <c r="H155" s="107"/>
      <c r="I155" s="108"/>
      <c r="J155" s="107"/>
      <c r="K155" s="109"/>
      <c r="L155" s="109"/>
      <c r="M155" s="72"/>
      <c r="N155" s="72"/>
      <c r="O155" s="72"/>
      <c r="P155" s="272"/>
    </row>
    <row r="156" spans="1:16" s="131" customFormat="1" ht="153" x14ac:dyDescent="0.25">
      <c r="A156" s="277" t="s">
        <v>27</v>
      </c>
      <c r="B156" s="98" t="s">
        <v>107</v>
      </c>
      <c r="C156" s="61"/>
      <c r="D156" s="61"/>
      <c r="E156" s="61"/>
      <c r="F156" s="107"/>
      <c r="G156" s="107"/>
      <c r="H156" s="107"/>
      <c r="I156" s="108"/>
      <c r="J156" s="107"/>
      <c r="K156" s="109"/>
      <c r="L156" s="109"/>
      <c r="M156" s="72"/>
      <c r="N156" s="72"/>
      <c r="O156" s="72"/>
      <c r="P156" s="272" t="s">
        <v>124</v>
      </c>
    </row>
    <row r="157" spans="1:16" s="131" customFormat="1" x14ac:dyDescent="0.25">
      <c r="A157" s="278"/>
      <c r="B157" s="103" t="s">
        <v>4</v>
      </c>
      <c r="C157" s="61"/>
      <c r="D157" s="61"/>
      <c r="E157" s="61"/>
      <c r="F157" s="107"/>
      <c r="G157" s="107"/>
      <c r="H157" s="107"/>
      <c r="I157" s="108"/>
      <c r="J157" s="107"/>
      <c r="K157" s="109"/>
      <c r="L157" s="109"/>
      <c r="M157" s="72"/>
      <c r="N157" s="72"/>
      <c r="O157" s="72"/>
      <c r="P157" s="272"/>
    </row>
    <row r="158" spans="1:16" s="131" customFormat="1" x14ac:dyDescent="0.25">
      <c r="A158" s="278"/>
      <c r="B158" s="103" t="s">
        <v>16</v>
      </c>
      <c r="C158" s="61"/>
      <c r="D158" s="61"/>
      <c r="E158" s="61"/>
      <c r="F158" s="107"/>
      <c r="G158" s="107"/>
      <c r="H158" s="107"/>
      <c r="I158" s="108"/>
      <c r="J158" s="107"/>
      <c r="K158" s="109"/>
      <c r="L158" s="109"/>
      <c r="M158" s="72"/>
      <c r="N158" s="72"/>
      <c r="O158" s="72"/>
      <c r="P158" s="272"/>
    </row>
    <row r="159" spans="1:16" s="131" customFormat="1" x14ac:dyDescent="0.25">
      <c r="A159" s="278"/>
      <c r="B159" s="103" t="s">
        <v>11</v>
      </c>
      <c r="C159" s="61"/>
      <c r="D159" s="61"/>
      <c r="E159" s="61"/>
      <c r="F159" s="107"/>
      <c r="G159" s="107"/>
      <c r="H159" s="107"/>
      <c r="I159" s="108"/>
      <c r="J159" s="107"/>
      <c r="K159" s="109"/>
      <c r="L159" s="109"/>
      <c r="M159" s="72"/>
      <c r="N159" s="72"/>
      <c r="O159" s="72"/>
      <c r="P159" s="272"/>
    </row>
    <row r="160" spans="1:16" s="131" customFormat="1" x14ac:dyDescent="0.25">
      <c r="A160" s="278"/>
      <c r="B160" s="103" t="s">
        <v>13</v>
      </c>
      <c r="C160" s="61"/>
      <c r="D160" s="61"/>
      <c r="E160" s="61"/>
      <c r="F160" s="107"/>
      <c r="G160" s="107"/>
      <c r="H160" s="107"/>
      <c r="I160" s="108"/>
      <c r="J160" s="107"/>
      <c r="K160" s="109"/>
      <c r="L160" s="109"/>
      <c r="M160" s="72"/>
      <c r="N160" s="72"/>
      <c r="O160" s="72"/>
      <c r="P160" s="272"/>
    </row>
    <row r="161" spans="1:16" s="131" customFormat="1" x14ac:dyDescent="0.25">
      <c r="A161" s="279"/>
      <c r="B161" s="103" t="s">
        <v>5</v>
      </c>
      <c r="C161" s="61"/>
      <c r="D161" s="61"/>
      <c r="E161" s="61"/>
      <c r="F161" s="107"/>
      <c r="G161" s="107"/>
      <c r="H161" s="107"/>
      <c r="I161" s="108"/>
      <c r="J161" s="107"/>
      <c r="K161" s="109"/>
      <c r="L161" s="109"/>
      <c r="M161" s="72"/>
      <c r="N161" s="72"/>
      <c r="O161" s="72"/>
      <c r="P161" s="272"/>
    </row>
    <row r="162" spans="1:16" s="114" customFormat="1" ht="222.75" customHeight="1" x14ac:dyDescent="0.25">
      <c r="A162" s="277" t="s">
        <v>28</v>
      </c>
      <c r="B162" s="69" t="s">
        <v>108</v>
      </c>
      <c r="C162" s="61" t="e">
        <f>SUM(C163:C167)</f>
        <v>#REF!</v>
      </c>
      <c r="D162" s="61" t="e">
        <f>SUM(D163:D167)</f>
        <v>#REF!</v>
      </c>
      <c r="E162" s="61">
        <v>0</v>
      </c>
      <c r="F162" s="61">
        <f>F164+F163+F165+F166+F167</f>
        <v>142887.04999999999</v>
      </c>
      <c r="G162" s="61">
        <f t="shared" ref="G162:O162" si="65">G164+G163+G165+G166+G167</f>
        <v>142887.04999999999</v>
      </c>
      <c r="H162" s="61">
        <f t="shared" si="65"/>
        <v>124533.53</v>
      </c>
      <c r="I162" s="74">
        <f>H162/G162</f>
        <v>0.87</v>
      </c>
      <c r="J162" s="61">
        <f t="shared" si="65"/>
        <v>81264.62</v>
      </c>
      <c r="K162" s="74">
        <f t="shared" ref="K162:K165" si="66">J162/G162</f>
        <v>0.56999999999999995</v>
      </c>
      <c r="L162" s="61">
        <f t="shared" si="65"/>
        <v>142887.04999999999</v>
      </c>
      <c r="M162" s="61">
        <f t="shared" si="65"/>
        <v>0</v>
      </c>
      <c r="N162" s="61">
        <f t="shared" si="65"/>
        <v>0</v>
      </c>
      <c r="O162" s="61">
        <f t="shared" si="65"/>
        <v>0</v>
      </c>
      <c r="P162" s="272" t="s">
        <v>174</v>
      </c>
    </row>
    <row r="163" spans="1:16" s="111" customFormat="1" ht="126" customHeight="1" x14ac:dyDescent="0.25">
      <c r="A163" s="94"/>
      <c r="B163" s="103" t="s">
        <v>4</v>
      </c>
      <c r="C163" s="65"/>
      <c r="D163" s="65"/>
      <c r="E163" s="65"/>
      <c r="F163" s="89"/>
      <c r="G163" s="89"/>
      <c r="H163" s="89"/>
      <c r="I163" s="132"/>
      <c r="J163" s="89"/>
      <c r="K163" s="132"/>
      <c r="L163" s="89"/>
      <c r="M163" s="65"/>
      <c r="N163" s="65"/>
      <c r="O163" s="65"/>
      <c r="P163"/>
    </row>
    <row r="164" spans="1:16" s="111" customFormat="1" ht="126" customHeight="1" x14ac:dyDescent="0.25">
      <c r="A164" s="94"/>
      <c r="B164" s="103" t="s">
        <v>16</v>
      </c>
      <c r="C164" s="87"/>
      <c r="D164" s="87"/>
      <c r="E164" s="87"/>
      <c r="F164" s="125">
        <v>128460.67</v>
      </c>
      <c r="G164" s="125">
        <v>128460.67</v>
      </c>
      <c r="H164" s="125">
        <v>118582.29</v>
      </c>
      <c r="I164" s="74">
        <f>H164/G164</f>
        <v>0.92</v>
      </c>
      <c r="J164" s="125">
        <v>75313.38</v>
      </c>
      <c r="K164" s="74">
        <f t="shared" si="66"/>
        <v>0.59</v>
      </c>
      <c r="L164" s="125">
        <v>128460.67</v>
      </c>
      <c r="M164" s="65"/>
      <c r="N164" s="65"/>
      <c r="O164" s="147">
        <f>G164-L164</f>
        <v>0</v>
      </c>
      <c r="P164"/>
    </row>
    <row r="165" spans="1:16" s="111" customFormat="1" ht="126" customHeight="1" x14ac:dyDescent="0.25">
      <c r="A165" s="94"/>
      <c r="B165" s="103" t="s">
        <v>11</v>
      </c>
      <c r="C165" s="87" t="e">
        <f>#REF!</f>
        <v>#REF!</v>
      </c>
      <c r="D165" s="87" t="e">
        <f>#REF!</f>
        <v>#REF!</v>
      </c>
      <c r="E165" s="87" t="e">
        <f>#REF!</f>
        <v>#REF!</v>
      </c>
      <c r="F165" s="65">
        <v>10554.6</v>
      </c>
      <c r="G165" s="65">
        <v>10554.6</v>
      </c>
      <c r="H165" s="65">
        <v>3744.68</v>
      </c>
      <c r="I165" s="130">
        <f t="shared" ref="I165" si="67">H165/G165</f>
        <v>0.35</v>
      </c>
      <c r="J165" s="65">
        <v>3744.68</v>
      </c>
      <c r="K165" s="74">
        <f t="shared" si="66"/>
        <v>0.35</v>
      </c>
      <c r="L165" s="65">
        <v>10554.6</v>
      </c>
      <c r="M165" s="65"/>
      <c r="N165" s="65"/>
      <c r="O165" s="147">
        <f>G165-L165</f>
        <v>0</v>
      </c>
      <c r="P165"/>
    </row>
    <row r="166" spans="1:16" s="111" customFormat="1" ht="126" customHeight="1" x14ac:dyDescent="0.25">
      <c r="A166" s="94"/>
      <c r="B166" s="103" t="s">
        <v>13</v>
      </c>
      <c r="C166" s="65"/>
      <c r="D166" s="65"/>
      <c r="E166" s="65"/>
      <c r="F166" s="65">
        <v>3871.78</v>
      </c>
      <c r="G166" s="65">
        <v>3871.78</v>
      </c>
      <c r="H166" s="65">
        <v>2206.56</v>
      </c>
      <c r="I166" s="130">
        <f>H166/G166</f>
        <v>0.56999999999999995</v>
      </c>
      <c r="J166" s="65">
        <v>2206.56</v>
      </c>
      <c r="K166" s="74">
        <f>J166/G166</f>
        <v>0.56999999999999995</v>
      </c>
      <c r="L166" s="65">
        <v>3871.78</v>
      </c>
      <c r="M166" s="65"/>
      <c r="N166" s="65"/>
      <c r="O166" s="65">
        <f>G166-L166</f>
        <v>0</v>
      </c>
      <c r="P166"/>
    </row>
    <row r="167" spans="1:16" s="111" customFormat="1" ht="126" customHeight="1" x14ac:dyDescent="0.25">
      <c r="A167" s="112"/>
      <c r="B167" s="103" t="s">
        <v>5</v>
      </c>
      <c r="C167" s="65"/>
      <c r="D167" s="65"/>
      <c r="E167" s="65"/>
      <c r="F167" s="65"/>
      <c r="G167" s="65"/>
      <c r="H167" s="65"/>
      <c r="I167" s="106"/>
      <c r="J167" s="65"/>
      <c r="K167" s="106"/>
      <c r="L167" s="65"/>
      <c r="M167" s="65"/>
      <c r="N167" s="65"/>
      <c r="O167" s="65"/>
      <c r="P167"/>
    </row>
    <row r="168" spans="1:16" s="135" customFormat="1" ht="138.75" customHeight="1" x14ac:dyDescent="0.25">
      <c r="A168" s="277" t="s">
        <v>29</v>
      </c>
      <c r="B168" s="69" t="s">
        <v>109</v>
      </c>
      <c r="C168" s="61" t="e">
        <f>#REF!+#REF!+#REF!+#REF!+#REF!</f>
        <v>#REF!</v>
      </c>
      <c r="D168" s="61" t="e">
        <f>#REF!+#REF!+#REF!+#REF!+#REF!</f>
        <v>#REF!</v>
      </c>
      <c r="E168" s="61" t="e">
        <f>#REF!+#REF!+#REF!+#REF!+#REF!</f>
        <v>#REF!</v>
      </c>
      <c r="F168" s="107"/>
      <c r="G168" s="107"/>
      <c r="H168" s="115"/>
      <c r="I168" s="133"/>
      <c r="J168" s="134"/>
      <c r="K168" s="100"/>
      <c r="L168" s="100"/>
      <c r="M168" s="72"/>
      <c r="N168" s="72"/>
      <c r="O168" s="72"/>
      <c r="P168" s="271" t="s">
        <v>124</v>
      </c>
    </row>
    <row r="169" spans="1:16" s="82" customFormat="1" ht="139.5" customHeight="1" x14ac:dyDescent="0.4">
      <c r="A169" s="277" t="s">
        <v>30</v>
      </c>
      <c r="B169" s="69" t="s">
        <v>110</v>
      </c>
      <c r="C169" s="61" t="e">
        <f>SUM(C170:C174)</f>
        <v>#REF!</v>
      </c>
      <c r="D169" s="61" t="e">
        <f>SUM(D170:D174)</f>
        <v>#REF!</v>
      </c>
      <c r="E169" s="61" t="e">
        <f>SUM(E170:E174)</f>
        <v>#REF!</v>
      </c>
      <c r="F169" s="61">
        <f>SUM(F170:F174)</f>
        <v>540732.19999999995</v>
      </c>
      <c r="G169" s="61">
        <f t="shared" ref="G169:N169" si="68">SUM(G170:G174)</f>
        <v>617623.30000000005</v>
      </c>
      <c r="H169" s="61">
        <f t="shared" si="68"/>
        <v>20716.060000000001</v>
      </c>
      <c r="I169" s="174">
        <f>H169/G169</f>
        <v>0.03</v>
      </c>
      <c r="J169" s="61">
        <f t="shared" si="68"/>
        <v>20716.060000000001</v>
      </c>
      <c r="K169" s="174">
        <f>J169/G169</f>
        <v>0.03</v>
      </c>
      <c r="L169" s="61">
        <f t="shared" si="68"/>
        <v>617623.4</v>
      </c>
      <c r="M169" s="61">
        <f t="shared" si="68"/>
        <v>0</v>
      </c>
      <c r="N169" s="61">
        <f t="shared" si="68"/>
        <v>0</v>
      </c>
      <c r="O169" s="61">
        <f>G169-J169</f>
        <v>596907.24</v>
      </c>
      <c r="P169" s="280" t="s">
        <v>175</v>
      </c>
    </row>
    <row r="170" spans="1:16" s="82" customFormat="1" x14ac:dyDescent="0.4">
      <c r="A170" s="278"/>
      <c r="B170" s="103" t="s">
        <v>4</v>
      </c>
      <c r="C170" s="65" t="e">
        <f>#REF!</f>
        <v>#REF!</v>
      </c>
      <c r="D170" s="65" t="e">
        <f>#REF!</f>
        <v>#REF!</v>
      </c>
      <c r="E170" s="65" t="e">
        <f>#REF!</f>
        <v>#REF!</v>
      </c>
      <c r="F170" s="65"/>
      <c r="G170" s="65"/>
      <c r="H170" s="65"/>
      <c r="I170" s="74"/>
      <c r="J170" s="65"/>
      <c r="K170" s="74"/>
      <c r="L170" s="65"/>
      <c r="M170" s="74"/>
      <c r="N170" s="74"/>
      <c r="O170" s="61">
        <f t="shared" ref="O170" si="69">G170-J170</f>
        <v>0</v>
      </c>
      <c r="P170"/>
    </row>
    <row r="171" spans="1:16" s="82" customFormat="1" x14ac:dyDescent="0.4">
      <c r="A171" s="278"/>
      <c r="B171" s="103" t="s">
        <v>16</v>
      </c>
      <c r="C171" s="65"/>
      <c r="D171" s="65"/>
      <c r="E171" s="65"/>
      <c r="F171" s="208">
        <v>506592.5</v>
      </c>
      <c r="G171" s="208">
        <f>583483.6</f>
        <v>583483.6</v>
      </c>
      <c r="H171" s="65">
        <v>17055.37</v>
      </c>
      <c r="I171" s="74">
        <f>H171/G171</f>
        <v>0.03</v>
      </c>
      <c r="J171" s="65">
        <v>17055.37</v>
      </c>
      <c r="K171" s="74">
        <f>J171/G171</f>
        <v>0.03</v>
      </c>
      <c r="L171" s="65">
        <f>243392.5+340091.2</f>
        <v>583483.69999999995</v>
      </c>
      <c r="M171" s="74"/>
      <c r="N171" s="74"/>
      <c r="O171" s="147">
        <f>G171-L171</f>
        <v>-0.1</v>
      </c>
      <c r="P171"/>
    </row>
    <row r="172" spans="1:16" s="82" customFormat="1" x14ac:dyDescent="0.4">
      <c r="A172" s="278"/>
      <c r="B172" s="103" t="s">
        <v>11</v>
      </c>
      <c r="C172" s="65"/>
      <c r="D172" s="65"/>
      <c r="E172" s="65"/>
      <c r="F172" s="208">
        <f>13852.6+16237.42</f>
        <v>30090.02</v>
      </c>
      <c r="G172" s="208">
        <f>13852.6+16237.42</f>
        <v>30090.02</v>
      </c>
      <c r="H172" s="65">
        <f>J172</f>
        <v>3660.69</v>
      </c>
      <c r="I172" s="74">
        <f>H172/G172</f>
        <v>0.12</v>
      </c>
      <c r="J172" s="65">
        <v>3660.69</v>
      </c>
      <c r="K172" s="74">
        <f>J172/G172</f>
        <v>0.12</v>
      </c>
      <c r="L172" s="65">
        <f>16237.42+13852.6</f>
        <v>30090.02</v>
      </c>
      <c r="M172" s="74"/>
      <c r="N172" s="74"/>
      <c r="O172" s="147">
        <f t="shared" ref="O172:O173" si="70">G172-L172</f>
        <v>0</v>
      </c>
      <c r="P172"/>
    </row>
    <row r="173" spans="1:16" s="82" customFormat="1" x14ac:dyDescent="0.4">
      <c r="A173" s="278"/>
      <c r="B173" s="103" t="s">
        <v>13</v>
      </c>
      <c r="C173" s="65"/>
      <c r="D173" s="65"/>
      <c r="E173" s="65"/>
      <c r="F173" s="208">
        <v>4049.68</v>
      </c>
      <c r="G173" s="208">
        <f>F173</f>
        <v>4049.68</v>
      </c>
      <c r="H173" s="65"/>
      <c r="I173" s="74"/>
      <c r="J173" s="65"/>
      <c r="K173" s="74"/>
      <c r="L173" s="65">
        <v>4049.68</v>
      </c>
      <c r="M173" s="74"/>
      <c r="N173" s="74"/>
      <c r="O173" s="147">
        <f t="shared" si="70"/>
        <v>0</v>
      </c>
      <c r="P173"/>
    </row>
    <row r="174" spans="1:16" s="82" customFormat="1" x14ac:dyDescent="0.4">
      <c r="A174" s="278"/>
      <c r="B174" s="103" t="s">
        <v>5</v>
      </c>
      <c r="C174" s="65" t="e">
        <f>#REF!</f>
        <v>#REF!</v>
      </c>
      <c r="D174" s="65" t="e">
        <f>#REF!</f>
        <v>#REF!</v>
      </c>
      <c r="E174" s="65" t="e">
        <f>#REF!</f>
        <v>#REF!</v>
      </c>
      <c r="F174" s="65"/>
      <c r="G174" s="65"/>
      <c r="H174" s="65"/>
      <c r="I174" s="74"/>
      <c r="J174" s="65"/>
      <c r="K174" s="74"/>
      <c r="L174" s="65"/>
      <c r="M174" s="74"/>
      <c r="N174" s="74"/>
      <c r="O174" s="95"/>
      <c r="P174"/>
    </row>
    <row r="175" spans="1:16" s="137" customFormat="1" ht="127.5" x14ac:dyDescent="0.25">
      <c r="A175" s="175" t="s">
        <v>31</v>
      </c>
      <c r="B175" s="98" t="s">
        <v>111</v>
      </c>
      <c r="C175" s="61" t="e">
        <f>#REF!+#REF!+#REF!+#REF!+#REF!</f>
        <v>#REF!</v>
      </c>
      <c r="D175" s="61" t="e">
        <f>#REF!+#REF!+#REF!+#REF!+#REF!</f>
        <v>#REF!</v>
      </c>
      <c r="E175" s="61" t="e">
        <f>#REF!+#REF!+#REF!+#REF!+#REF!</f>
        <v>#REF!</v>
      </c>
      <c r="F175" s="107"/>
      <c r="G175" s="107"/>
      <c r="H175" s="115"/>
      <c r="I175" s="133"/>
      <c r="J175" s="134"/>
      <c r="K175" s="100"/>
      <c r="L175" s="100"/>
      <c r="M175" s="72"/>
      <c r="N175" s="72"/>
      <c r="O175" s="72"/>
      <c r="P175" s="136" t="s">
        <v>124</v>
      </c>
    </row>
    <row r="176" spans="1:16" s="135" customFormat="1" ht="243.75" customHeight="1" x14ac:dyDescent="0.25">
      <c r="A176" s="278" t="s">
        <v>47</v>
      </c>
      <c r="B176" s="69" t="s">
        <v>112</v>
      </c>
      <c r="C176" s="61" t="e">
        <f>C177+C181+#REF!+#REF!+#REF!</f>
        <v>#REF!</v>
      </c>
      <c r="D176" s="61" t="e">
        <f>D177+D181+#REF!+#REF!+#REF!</f>
        <v>#REF!</v>
      </c>
      <c r="E176" s="61" t="e">
        <f>E177+E181+#REF!+#REF!+#REF!</f>
        <v>#REF!</v>
      </c>
      <c r="F176" s="61">
        <f>F177+F178+F179</f>
        <v>58377.41</v>
      </c>
      <c r="G176" s="61">
        <f t="shared" ref="G176:H176" si="71">G177+G178+G179</f>
        <v>132213.9</v>
      </c>
      <c r="H176" s="61">
        <f t="shared" si="71"/>
        <v>29082.63</v>
      </c>
      <c r="I176" s="70"/>
      <c r="J176" s="61">
        <f>J177+J178+J179</f>
        <v>29082.63</v>
      </c>
      <c r="K176" s="71"/>
      <c r="L176" s="61">
        <f>L177+L178+L179</f>
        <v>108192.61</v>
      </c>
      <c r="M176" s="61">
        <f t="shared" ref="M176:O176" si="72">M177+M178+M179</f>
        <v>0</v>
      </c>
      <c r="N176" s="61">
        <f t="shared" si="72"/>
        <v>0</v>
      </c>
      <c r="O176" s="61">
        <f t="shared" si="72"/>
        <v>24021.29</v>
      </c>
      <c r="P176" s="271" t="s">
        <v>158</v>
      </c>
    </row>
    <row r="177" spans="1:16" s="46" customFormat="1" x14ac:dyDescent="0.25">
      <c r="A177" s="110"/>
      <c r="B177" s="103" t="s">
        <v>4</v>
      </c>
      <c r="C177" s="65" t="e">
        <f>#REF!+#REF!</f>
        <v>#REF!</v>
      </c>
      <c r="D177" s="65" t="e">
        <f>#REF!+#REF!</f>
        <v>#REF!</v>
      </c>
      <c r="E177" s="65" t="e">
        <f>#REF!+#REF!</f>
        <v>#REF!</v>
      </c>
      <c r="F177" s="65"/>
      <c r="G177" s="65"/>
      <c r="H177" s="65"/>
      <c r="I177" s="74" t="e">
        <f>H177/G177</f>
        <v>#DIV/0!</v>
      </c>
      <c r="J177" s="65"/>
      <c r="K177" s="75" t="e">
        <f>J177/G177</f>
        <v>#DIV/0!</v>
      </c>
      <c r="L177" s="65"/>
      <c r="M177" s="65"/>
      <c r="N177" s="65"/>
      <c r="O177" s="95">
        <f>H177-L177</f>
        <v>0</v>
      </c>
      <c r="P177"/>
    </row>
    <row r="178" spans="1:16" s="46" customFormat="1" x14ac:dyDescent="0.25">
      <c r="A178" s="110"/>
      <c r="B178" s="103" t="s">
        <v>16</v>
      </c>
      <c r="C178" s="65"/>
      <c r="D178" s="65"/>
      <c r="E178" s="65"/>
      <c r="F178" s="65">
        <v>57382.9</v>
      </c>
      <c r="G178" s="65">
        <v>127527.6</v>
      </c>
      <c r="H178" s="65">
        <f>24444.5+3244.8</f>
        <v>27689.3</v>
      </c>
      <c r="I178" s="74">
        <f>H178/G178</f>
        <v>0.22</v>
      </c>
      <c r="J178" s="65">
        <v>27689.3</v>
      </c>
      <c r="K178" s="75">
        <f>J178/G178</f>
        <v>0.22</v>
      </c>
      <c r="L178" s="65">
        <f>26909.12+6902.57+70144.7</f>
        <v>103956.39</v>
      </c>
      <c r="M178" s="65"/>
      <c r="N178" s="65"/>
      <c r="O178" s="95">
        <f>G178-L178</f>
        <v>23571.21</v>
      </c>
      <c r="P178"/>
    </row>
    <row r="179" spans="1:16" s="46" customFormat="1" x14ac:dyDescent="0.25">
      <c r="A179" s="110"/>
      <c r="B179" s="103" t="s">
        <v>11</v>
      </c>
      <c r="C179" s="65"/>
      <c r="D179" s="65"/>
      <c r="E179" s="65"/>
      <c r="F179" s="65">
        <v>994.51</v>
      </c>
      <c r="G179" s="65">
        <v>4686.3</v>
      </c>
      <c r="H179" s="65">
        <v>1393.33</v>
      </c>
      <c r="I179" s="74">
        <f>H179/G179</f>
        <v>0.3</v>
      </c>
      <c r="J179" s="65">
        <v>1393.33</v>
      </c>
      <c r="K179" s="75">
        <f>J179/G179</f>
        <v>0.3</v>
      </c>
      <c r="L179" s="65">
        <f>318.65+225.78+3691.79</f>
        <v>4236.22</v>
      </c>
      <c r="M179" s="65"/>
      <c r="N179" s="65"/>
      <c r="O179" s="95">
        <f>G179-L179</f>
        <v>450.08</v>
      </c>
      <c r="P179"/>
    </row>
    <row r="180" spans="1:16" s="46" customFormat="1" x14ac:dyDescent="0.25">
      <c r="A180" s="110"/>
      <c r="B180" s="103" t="s">
        <v>13</v>
      </c>
      <c r="C180" s="65"/>
      <c r="D180" s="65"/>
      <c r="E180" s="65"/>
      <c r="F180" s="65"/>
      <c r="G180" s="65"/>
      <c r="H180" s="65"/>
      <c r="I180" s="74" t="e">
        <f>H180/G180</f>
        <v>#DIV/0!</v>
      </c>
      <c r="J180" s="65"/>
      <c r="K180" s="75" t="e">
        <f>J180/G180</f>
        <v>#DIV/0!</v>
      </c>
      <c r="L180" s="65"/>
      <c r="M180" s="65"/>
      <c r="N180" s="65"/>
      <c r="O180" s="95">
        <f>H180-L180</f>
        <v>0</v>
      </c>
      <c r="P180"/>
    </row>
    <row r="181" spans="1:16" s="46" customFormat="1" x14ac:dyDescent="0.25">
      <c r="A181" s="110"/>
      <c r="B181" s="103" t="s">
        <v>5</v>
      </c>
      <c r="C181" s="65"/>
      <c r="D181" s="65"/>
      <c r="E181" s="65"/>
      <c r="F181" s="65"/>
      <c r="G181" s="65"/>
      <c r="H181" s="65"/>
      <c r="I181" s="74" t="e">
        <f>H181/G181</f>
        <v>#DIV/0!</v>
      </c>
      <c r="J181" s="65"/>
      <c r="K181" s="75" t="e">
        <f>J181/G181</f>
        <v>#DIV/0!</v>
      </c>
      <c r="L181" s="65"/>
      <c r="M181" s="65"/>
      <c r="N181" s="65"/>
      <c r="O181" s="95">
        <f>H181-L181</f>
        <v>0</v>
      </c>
      <c r="P181"/>
    </row>
    <row r="182" spans="1:16" s="138" customFormat="1" ht="142.5" customHeight="1" x14ac:dyDescent="0.25">
      <c r="A182" s="277" t="s">
        <v>46</v>
      </c>
      <c r="B182" s="69" t="s">
        <v>113</v>
      </c>
      <c r="C182" s="61"/>
      <c r="D182" s="61"/>
      <c r="E182" s="61"/>
      <c r="F182" s="107"/>
      <c r="G182" s="107"/>
      <c r="H182" s="107"/>
      <c r="I182" s="108"/>
      <c r="J182" s="107"/>
      <c r="K182" s="109"/>
      <c r="L182" s="109"/>
      <c r="M182" s="72"/>
      <c r="N182" s="72"/>
      <c r="O182" s="72"/>
      <c r="P182" s="117" t="s">
        <v>124</v>
      </c>
    </row>
    <row r="183" spans="1:16" s="101" customFormat="1" ht="138.75" customHeight="1" x14ac:dyDescent="0.25">
      <c r="A183" s="277" t="s">
        <v>32</v>
      </c>
      <c r="B183" s="69" t="s">
        <v>114</v>
      </c>
      <c r="C183" s="61"/>
      <c r="D183" s="61"/>
      <c r="E183" s="61"/>
      <c r="F183" s="107"/>
      <c r="G183" s="107"/>
      <c r="H183" s="107"/>
      <c r="I183" s="108"/>
      <c r="J183" s="107"/>
      <c r="K183" s="109"/>
      <c r="L183" s="109"/>
      <c r="M183" s="72"/>
      <c r="N183" s="72"/>
      <c r="O183" s="72"/>
      <c r="P183" s="117" t="s">
        <v>124</v>
      </c>
    </row>
    <row r="184" spans="1:16" s="101" customFormat="1" ht="175.5" customHeight="1" x14ac:dyDescent="0.25">
      <c r="A184" s="277" t="s">
        <v>118</v>
      </c>
      <c r="B184" s="69" t="s">
        <v>115</v>
      </c>
      <c r="C184" s="61" t="e">
        <f>#REF!+#REF!+#REF!+#REF!+#REF!</f>
        <v>#REF!</v>
      </c>
      <c r="D184" s="61" t="e">
        <f>#REF!+#REF!+#REF!+#REF!+#REF!</f>
        <v>#REF!</v>
      </c>
      <c r="E184" s="61" t="e">
        <f>#REF!+#REF!+#REF!+#REF!+#REF!</f>
        <v>#REF!</v>
      </c>
      <c r="F184" s="107"/>
      <c r="G184" s="107"/>
      <c r="H184" s="115"/>
      <c r="I184" s="108"/>
      <c r="J184" s="107"/>
      <c r="K184" s="109"/>
      <c r="L184" s="109"/>
      <c r="M184" s="72"/>
      <c r="N184" s="72"/>
      <c r="O184" s="72"/>
      <c r="P184" s="117" t="s">
        <v>124</v>
      </c>
    </row>
    <row r="185" spans="1:16" ht="210.75" customHeight="1" x14ac:dyDescent="0.4">
      <c r="A185" s="277" t="s">
        <v>59</v>
      </c>
      <c r="B185" s="69" t="s">
        <v>116</v>
      </c>
      <c r="C185" s="61" t="e">
        <f>#REF!+#REF!+#REF!+#REF!+#REF!</f>
        <v>#REF!</v>
      </c>
      <c r="D185" s="61" t="e">
        <f>#REF!+#REF!+#REF!+#REF!+#REF!</f>
        <v>#REF!</v>
      </c>
      <c r="E185" s="61" t="e">
        <f>#REF!+#REF!+#REF!+#REF!+#REF!</f>
        <v>#REF!</v>
      </c>
      <c r="F185" s="107"/>
      <c r="G185" s="107"/>
      <c r="H185" s="115"/>
      <c r="I185" s="108"/>
      <c r="J185" s="107"/>
      <c r="K185" s="109"/>
      <c r="L185" s="109"/>
      <c r="M185" s="72"/>
      <c r="N185" s="72"/>
      <c r="O185" s="72"/>
      <c r="P185" s="117" t="s">
        <v>124</v>
      </c>
    </row>
    <row r="186" spans="1:16" ht="175.5" customHeight="1" x14ac:dyDescent="0.4">
      <c r="A186" s="277" t="s">
        <v>60</v>
      </c>
      <c r="B186" s="69" t="s">
        <v>117</v>
      </c>
      <c r="C186" s="61" t="e">
        <f>#REF!+#REF!+#REF!+#REF!+#REF!</f>
        <v>#REF!</v>
      </c>
      <c r="D186" s="61" t="e">
        <f>#REF!+#REF!+#REF!+#REF!+#REF!</f>
        <v>#REF!</v>
      </c>
      <c r="E186" s="61" t="e">
        <f>#REF!+#REF!+#REF!+#REF!+#REF!</f>
        <v>#REF!</v>
      </c>
      <c r="F186" s="107"/>
      <c r="G186" s="107"/>
      <c r="H186" s="115"/>
      <c r="I186" s="108"/>
      <c r="J186" s="107"/>
      <c r="K186" s="109"/>
      <c r="L186" s="109"/>
      <c r="M186" s="72"/>
      <c r="N186" s="72"/>
      <c r="O186" s="72"/>
      <c r="P186" s="117" t="s">
        <v>124</v>
      </c>
    </row>
    <row r="187" spans="1:16" x14ac:dyDescent="0.4">
      <c r="L187" s="142"/>
      <c r="M187" s="142"/>
      <c r="N187" s="142"/>
      <c r="O187" s="142"/>
      <c r="P187" s="40"/>
    </row>
    <row r="394" spans="1:15" s="82" customFormat="1" x14ac:dyDescent="0.4">
      <c r="A394" s="139"/>
      <c r="B394" s="40"/>
      <c r="C394" s="40"/>
      <c r="D394" s="40"/>
      <c r="E394" s="40"/>
      <c r="F394" s="140"/>
      <c r="G394" s="140"/>
      <c r="H394" s="141"/>
      <c r="I394" s="142"/>
      <c r="J394" s="140"/>
      <c r="K394" s="142"/>
      <c r="L394" s="143"/>
      <c r="M394" s="143"/>
      <c r="N394" s="143"/>
      <c r="O394" s="143"/>
    </row>
    <row r="395" spans="1:15" s="82" customFormat="1" x14ac:dyDescent="0.4">
      <c r="A395" s="139"/>
      <c r="B395" s="40"/>
      <c r="C395" s="40"/>
      <c r="D395" s="40"/>
      <c r="E395" s="40"/>
      <c r="F395" s="140"/>
      <c r="G395" s="140"/>
      <c r="H395" s="141"/>
      <c r="I395" s="142"/>
      <c r="J395" s="140"/>
      <c r="K395" s="142"/>
      <c r="L395" s="143"/>
      <c r="M395" s="143"/>
      <c r="N395" s="143"/>
      <c r="O395" s="143"/>
    </row>
    <row r="396" spans="1:15" s="82" customFormat="1" x14ac:dyDescent="0.4">
      <c r="A396" s="139"/>
      <c r="B396" s="40"/>
      <c r="C396" s="40"/>
      <c r="D396" s="40"/>
      <c r="E396" s="40"/>
      <c r="F396" s="140"/>
      <c r="G396" s="140"/>
      <c r="H396" s="141"/>
      <c r="I396" s="142"/>
      <c r="J396" s="140"/>
      <c r="K396" s="142"/>
      <c r="L396" s="143"/>
      <c r="M396" s="143"/>
      <c r="N396" s="143"/>
      <c r="O396" s="143"/>
    </row>
    <row r="406" spans="1:11" s="40" customFormat="1" x14ac:dyDescent="0.4">
      <c r="A406" s="144"/>
      <c r="B406" s="82"/>
      <c r="C406" s="82"/>
      <c r="D406" s="82"/>
      <c r="E406" s="82"/>
      <c r="F406" s="145"/>
      <c r="G406" s="145"/>
      <c r="H406" s="146"/>
      <c r="I406" s="143"/>
      <c r="J406" s="145"/>
      <c r="K406" s="143"/>
    </row>
    <row r="407" spans="1:11" s="40" customFormat="1" x14ac:dyDescent="0.4">
      <c r="A407" s="144"/>
      <c r="B407" s="82"/>
      <c r="C407" s="82"/>
      <c r="D407" s="82"/>
      <c r="E407" s="82"/>
      <c r="F407" s="145"/>
      <c r="G407" s="145"/>
      <c r="H407" s="146"/>
      <c r="I407" s="143"/>
      <c r="J407" s="145"/>
      <c r="K407" s="143"/>
    </row>
    <row r="408" spans="1:11" s="40" customFormat="1" x14ac:dyDescent="0.4">
      <c r="A408" s="144"/>
      <c r="B408" s="82"/>
      <c r="C408" s="82"/>
      <c r="D408" s="82"/>
      <c r="E408" s="82"/>
      <c r="F408" s="145"/>
      <c r="G408" s="145"/>
      <c r="H408" s="146"/>
      <c r="I408" s="143"/>
      <c r="J408" s="145"/>
      <c r="K408" s="143"/>
    </row>
  </sheetData>
  <customSheetViews>
    <customSheetView guid="{A0A3CD9B-2436-40D7-91DB-589A95FBBF00}" scale="42" hiddenColumns="1">
      <selection activeCell="B2" sqref="B2"/>
      <pageMargins left="0.7" right="0.7" top="0.75" bottom="0.75" header="0.3" footer="0.3"/>
    </customSheetView>
    <customSheetView guid="{67ADFAE6-A9AF-44D7-8539-93CD0F6B7849}" scale="42" hiddenColumns="1">
      <selection activeCell="B2" sqref="B2"/>
      <pageMargins left="0.7" right="0.7" top="0.75" bottom="0.75" header="0.3" footer="0.3"/>
    </customSheetView>
    <customSheetView guid="{BEA0FDBA-BB07-4C19-8BBD-5E57EE395C09}" scale="42" hiddenColumns="1">
      <selection activeCell="B2" sqref="B2"/>
      <pageMargins left="0.7" right="0.7" top="0.75" bottom="0.75" header="0.3" footer="0.3"/>
    </customSheetView>
    <customSheetView guid="{7B245AB0-C2AF-4822-BFC4-2399F85856C1}" scale="42" hiddenColumns="1">
      <selection activeCell="B2" sqref="B2"/>
      <pageMargins left="0.7" right="0.7" top="0.75" bottom="0.75" header="0.3" footer="0.3"/>
    </customSheetView>
    <customSheetView guid="{539CB3DF-9B66-4BE7-9074-8CE0405EB8A6}" scale="42" hiddenColumns="1">
      <selection activeCell="B2" sqref="B2"/>
      <pageMargins left="0.7" right="0.7" top="0.75" bottom="0.75" header="0.3" footer="0.3"/>
    </customSheetView>
    <customSheetView guid="{45DE1976-7F07-4EB4-8A9C-FB72D060BEFA}" scale="42" hiddenColumns="1">
      <selection activeCell="B2" sqref="B2"/>
      <pageMargins left="0.7" right="0.7" top="0.75" bottom="0.75" header="0.3" footer="0.3"/>
    </customSheetView>
    <customSheetView guid="{5FB953A5-71FF-4056-AF98-C9D06FF0EDF3}" scale="42" hiddenColumns="1">
      <selection activeCell="B2" sqref="B2"/>
      <pageMargins left="0.7" right="0.7" top="0.75" bottom="0.75" header="0.3" footer="0.3"/>
    </customSheetView>
    <customSheetView guid="{D95852A1-B0FC-4AC5-B62B-5CCBE05B0D15}" scale="42" hiddenColumns="1">
      <selection activeCell="B2" sqref="B2"/>
      <pageMargins left="0.7" right="0.7" top="0.75" bottom="0.75" header="0.3" footer="0.3"/>
    </customSheetView>
  </customSheetView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на 01.08.2016</vt:lpstr>
      <vt:lpstr>перечень</vt:lpstr>
      <vt:lpstr>Лист1</vt:lpstr>
      <vt:lpstr>'на 01.08.2016'!Заголовки_для_печати</vt:lpstr>
      <vt:lpstr>перечень!Заголовки_для_печати</vt:lpstr>
      <vt:lpstr>'на 01.08.2016'!Область_печати</vt:lpstr>
      <vt:lpstr>перечень!Область_печати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Рогожина Ольга Сергеевна</cp:lastModifiedBy>
  <cp:lastPrinted>2016-08-04T06:29:05Z</cp:lastPrinted>
  <dcterms:created xsi:type="dcterms:W3CDTF">2011-12-13T05:34:09Z</dcterms:created>
  <dcterms:modified xsi:type="dcterms:W3CDTF">2017-01-31T12:10:59Z</dcterms:modified>
</cp:coreProperties>
</file>